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Students\"/>
    </mc:Choice>
  </mc:AlternateContent>
  <xr:revisionPtr revIDLastSave="0" documentId="13_ncr:1_{2F3ACA83-C7CD-480B-8A1A-899C96A06C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_sch_production" sheetId="2" r:id="rId1"/>
  </sheets>
  <definedNames>
    <definedName name="HTML_CodePage" hidden="1">1252</definedName>
    <definedName name="HTML_Control" localSheetId="0" hidden="1">{"'fall_sch_production'!$B$7:$Q$58"}</definedName>
    <definedName name="HTML_Control" hidden="1">{"'fall_sch_production'!$B$7:$Q$58"}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Documents\FrontPage\fall_sch_production.htm"</definedName>
    <definedName name="HTML_Title" hidden="1">""</definedName>
    <definedName name="_xlnm.Print_Area" localSheetId="0">fall_sch_production!$A$1:$AR$119</definedName>
    <definedName name="_xlnm.Print_Titles" localSheetId="0">fall_sch_production!$1:$6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6" i="2" l="1"/>
  <c r="AP77" i="2"/>
  <c r="AP85" i="2"/>
  <c r="AP79" i="2"/>
  <c r="AP78" i="2"/>
  <c r="AP80" i="2"/>
  <c r="AO85" i="2"/>
  <c r="AO79" i="2"/>
  <c r="AO78" i="2"/>
  <c r="AO77" i="2"/>
  <c r="AO80" i="2" s="1"/>
  <c r="AN77" i="2"/>
  <c r="AQ56" i="2"/>
  <c r="AQ36" i="2"/>
  <c r="AQ21" i="2"/>
  <c r="AQ16" i="2"/>
  <c r="AQ10" i="2"/>
  <c r="AQ9" i="2"/>
  <c r="AQ8" i="2"/>
  <c r="AP10" i="2"/>
  <c r="AP11" i="2" s="1"/>
  <c r="AP9" i="2"/>
  <c r="AP8" i="2"/>
  <c r="AP72" i="2"/>
  <c r="AP68" i="2"/>
  <c r="AP64" i="2"/>
  <c r="AP56" i="2"/>
  <c r="AP51" i="2"/>
  <c r="AP46" i="2"/>
  <c r="AP41" i="2"/>
  <c r="AP36" i="2"/>
  <c r="AP31" i="2"/>
  <c r="AP26" i="2"/>
  <c r="AP21" i="2"/>
  <c r="AP16" i="2"/>
  <c r="AO8" i="2"/>
  <c r="AO9" i="2"/>
  <c r="AO10" i="2"/>
  <c r="AO73" i="2"/>
  <c r="AO72" i="2"/>
  <c r="AO68" i="2"/>
  <c r="AO64" i="2"/>
  <c r="AO56" i="2"/>
  <c r="AO51" i="2"/>
  <c r="AO46" i="2"/>
  <c r="AO41" i="2"/>
  <c r="AO36" i="2"/>
  <c r="AO31" i="2"/>
  <c r="AO26" i="2"/>
  <c r="AO21" i="2"/>
  <c r="AO16" i="2"/>
  <c r="AO11" i="2"/>
  <c r="AN10" i="2"/>
  <c r="AN79" i="2" s="1"/>
  <c r="AM10" i="2"/>
  <c r="AN85" i="2"/>
  <c r="AN72" i="2"/>
  <c r="AN68" i="2"/>
  <c r="AN64" i="2"/>
  <c r="AN56" i="2"/>
  <c r="AN51" i="2"/>
  <c r="AN46" i="2"/>
  <c r="AN41" i="2"/>
  <c r="AN36" i="2"/>
  <c r="AN31" i="2"/>
  <c r="AN26" i="2"/>
  <c r="AN21" i="2"/>
  <c r="AN16" i="2"/>
  <c r="AN9" i="2"/>
  <c r="AN78" i="2" s="1"/>
  <c r="AN8" i="2"/>
  <c r="AP86" i="2" l="1"/>
  <c r="AO86" i="2"/>
  <c r="AP73" i="2"/>
  <c r="AN11" i="2"/>
  <c r="AN73" i="2" s="1"/>
  <c r="AQ11" i="2"/>
  <c r="AN80" i="2"/>
  <c r="AM82" i="2"/>
  <c r="AM85" i="2" s="1"/>
  <c r="AM72" i="2"/>
  <c r="AM68" i="2"/>
  <c r="AM64" i="2"/>
  <c r="AM56" i="2"/>
  <c r="AM51" i="2"/>
  <c r="AM46" i="2"/>
  <c r="AM41" i="2"/>
  <c r="AM36" i="2"/>
  <c r="AM31" i="2"/>
  <c r="AM26" i="2"/>
  <c r="AM21" i="2"/>
  <c r="AM16" i="2"/>
  <c r="AM79" i="2"/>
  <c r="AM9" i="2"/>
  <c r="AM78" i="2" s="1"/>
  <c r="AM8" i="2"/>
  <c r="AM11" i="2" l="1"/>
  <c r="AM73" i="2"/>
  <c r="AM77" i="2"/>
  <c r="AM80" i="2" s="1"/>
  <c r="AM86" i="2" s="1"/>
  <c r="AL85" i="2"/>
  <c r="AL72" i="2"/>
  <c r="AL68" i="2"/>
  <c r="AL64" i="2"/>
  <c r="AL56" i="2"/>
  <c r="AL51" i="2"/>
  <c r="AL46" i="2"/>
  <c r="AL41" i="2"/>
  <c r="AL36" i="2"/>
  <c r="AL31" i="2"/>
  <c r="AL26" i="2"/>
  <c r="AL21" i="2"/>
  <c r="AL16" i="2"/>
  <c r="AL10" i="2"/>
  <c r="AL79" i="2" s="1"/>
  <c r="AL9" i="2"/>
  <c r="AL78" i="2" s="1"/>
  <c r="AL8" i="2"/>
  <c r="AL77" i="2" s="1"/>
  <c r="AL80" i="2" l="1"/>
  <c r="AL86" i="2" s="1"/>
  <c r="AL11" i="2"/>
  <c r="AL73" i="2" s="1"/>
  <c r="AQ79" i="2"/>
  <c r="AK10" i="2"/>
  <c r="AK79" i="2" s="1"/>
  <c r="AK85" i="2"/>
  <c r="AK72" i="2"/>
  <c r="AK68" i="2"/>
  <c r="AK64" i="2"/>
  <c r="AK56" i="2"/>
  <c r="AK51" i="2"/>
  <c r="AK46" i="2"/>
  <c r="AK41" i="2"/>
  <c r="AK36" i="2"/>
  <c r="AK31" i="2"/>
  <c r="AK26" i="2"/>
  <c r="AK21" i="2"/>
  <c r="AK16" i="2"/>
  <c r="AK9" i="2"/>
  <c r="AK78" i="2" s="1"/>
  <c r="AK8" i="2"/>
  <c r="AK77" i="2" s="1"/>
  <c r="AK11" i="2" l="1"/>
  <c r="AK73" i="2" s="1"/>
  <c r="AK80" i="2"/>
  <c r="AK86" i="2" s="1"/>
  <c r="AJ85" i="2"/>
  <c r="AJ72" i="2"/>
  <c r="AJ68" i="2"/>
  <c r="AJ64" i="2"/>
  <c r="AJ56" i="2"/>
  <c r="AJ51" i="2"/>
  <c r="AJ46" i="2"/>
  <c r="AJ41" i="2"/>
  <c r="AJ36" i="2"/>
  <c r="AJ31" i="2"/>
  <c r="AJ26" i="2"/>
  <c r="AJ21" i="2"/>
  <c r="AJ16" i="2"/>
  <c r="AJ10" i="2"/>
  <c r="AJ79" i="2" s="1"/>
  <c r="AJ9" i="2"/>
  <c r="AJ8" i="2"/>
  <c r="AJ77" i="2" s="1"/>
  <c r="AJ11" i="2" l="1"/>
  <c r="AJ73" i="2"/>
  <c r="AJ78" i="2"/>
  <c r="AJ80" i="2" s="1"/>
  <c r="AJ86" i="2" s="1"/>
  <c r="AI85" i="2"/>
  <c r="AI72" i="2"/>
  <c r="AI68" i="2"/>
  <c r="AI64" i="2"/>
  <c r="AI56" i="2"/>
  <c r="AI46" i="2"/>
  <c r="AI41" i="2"/>
  <c r="AI36" i="2"/>
  <c r="AI31" i="2"/>
  <c r="AI26" i="2"/>
  <c r="AI21" i="2"/>
  <c r="AI16" i="2"/>
  <c r="AI51" i="2"/>
  <c r="AI10" i="2"/>
  <c r="AI79" i="2" s="1"/>
  <c r="AI9" i="2"/>
  <c r="AI8" i="2"/>
  <c r="AI77" i="2" s="1"/>
  <c r="AI11" i="2" l="1"/>
  <c r="AI73" i="2" s="1"/>
  <c r="AI78" i="2"/>
  <c r="AI80" i="2" s="1"/>
  <c r="AI86" i="2" s="1"/>
  <c r="AH85" i="2"/>
  <c r="AH72" i="2"/>
  <c r="AH68" i="2"/>
  <c r="AH64" i="2"/>
  <c r="AH56" i="2"/>
  <c r="AH46" i="2"/>
  <c r="AH41" i="2"/>
  <c r="AH36" i="2"/>
  <c r="AH31" i="2"/>
  <c r="AH26" i="2"/>
  <c r="AH21" i="2"/>
  <c r="AH16" i="2"/>
  <c r="AH51" i="2"/>
  <c r="AH10" i="2"/>
  <c r="AH79" i="2" s="1"/>
  <c r="AH9" i="2"/>
  <c r="AH78" i="2" s="1"/>
  <c r="AH8" i="2"/>
  <c r="AH11" i="2" l="1"/>
  <c r="AH73" i="2" s="1"/>
  <c r="AH77" i="2"/>
  <c r="AH80" i="2" s="1"/>
  <c r="AH86" i="2" s="1"/>
  <c r="AG85" i="2"/>
  <c r="AG72" i="2"/>
  <c r="AG68" i="2"/>
  <c r="AG61" i="2"/>
  <c r="AG64" i="2" s="1"/>
  <c r="AG56" i="2"/>
  <c r="AG46" i="2"/>
  <c r="AG41" i="2"/>
  <c r="AG36" i="2"/>
  <c r="AG31" i="2"/>
  <c r="AG26" i="2"/>
  <c r="AG21" i="2"/>
  <c r="AG16" i="2"/>
  <c r="AG51" i="2"/>
  <c r="AG10" i="2"/>
  <c r="AG79" i="2" s="1"/>
  <c r="AG9" i="2"/>
  <c r="AG78" i="2" s="1"/>
  <c r="AG8" i="2"/>
  <c r="AG11" i="2" l="1"/>
  <c r="AG73" i="2" s="1"/>
  <c r="AG77" i="2"/>
  <c r="AG80" i="2" s="1"/>
  <c r="AG86" i="2" s="1"/>
  <c r="AD10" i="2"/>
  <c r="AF85" i="2"/>
  <c r="AF72" i="2"/>
  <c r="AF68" i="2"/>
  <c r="AF61" i="2"/>
  <c r="AF64" i="2" s="1"/>
  <c r="AF56" i="2"/>
  <c r="AF46" i="2"/>
  <c r="AF41" i="2"/>
  <c r="AF36" i="2"/>
  <c r="AF31" i="2"/>
  <c r="AF26" i="2"/>
  <c r="AF21" i="2"/>
  <c r="AF16" i="2"/>
  <c r="AF51" i="2"/>
  <c r="AF10" i="2"/>
  <c r="AF79" i="2" s="1"/>
  <c r="AF9" i="2"/>
  <c r="AF78" i="2" s="1"/>
  <c r="AF8" i="2"/>
  <c r="AF11" i="2" l="1"/>
  <c r="AF73" i="2" s="1"/>
  <c r="AF77" i="2"/>
  <c r="AF80" i="2" s="1"/>
  <c r="AF86" i="2" s="1"/>
  <c r="AQ41" i="2"/>
  <c r="AE85" i="2"/>
  <c r="AE72" i="2"/>
  <c r="AE68" i="2"/>
  <c r="AE61" i="2"/>
  <c r="AE64" i="2" s="1"/>
  <c r="AE56" i="2"/>
  <c r="AE46" i="2"/>
  <c r="AE41" i="2"/>
  <c r="AE36" i="2"/>
  <c r="AE31" i="2"/>
  <c r="AE26" i="2"/>
  <c r="AE21" i="2"/>
  <c r="AE16" i="2"/>
  <c r="AE51" i="2"/>
  <c r="AE10" i="2"/>
  <c r="AE79" i="2" s="1"/>
  <c r="AE9" i="2"/>
  <c r="AE78" i="2" s="1"/>
  <c r="AE8" i="2"/>
  <c r="AE11" i="2" l="1"/>
  <c r="AE73" i="2" s="1"/>
  <c r="AE77" i="2"/>
  <c r="AE80" i="2" s="1"/>
  <c r="AE86" i="2" s="1"/>
  <c r="AQ78" i="2"/>
  <c r="AD85" i="2"/>
  <c r="AD72" i="2"/>
  <c r="AD68" i="2"/>
  <c r="AD61" i="2"/>
  <c r="AD64" i="2" s="1"/>
  <c r="AD56" i="2"/>
  <c r="AD46" i="2"/>
  <c r="AD41" i="2"/>
  <c r="AD36" i="2"/>
  <c r="AD31" i="2"/>
  <c r="AD26" i="2"/>
  <c r="AD21" i="2"/>
  <c r="AD16" i="2"/>
  <c r="AD51" i="2"/>
  <c r="AD79" i="2"/>
  <c r="AD9" i="2"/>
  <c r="AD78" i="2" s="1"/>
  <c r="AD8" i="2"/>
  <c r="AQ64" i="2"/>
  <c r="AC85" i="2"/>
  <c r="AC72" i="2"/>
  <c r="AC68" i="2"/>
  <c r="AC61" i="2"/>
  <c r="AC64" i="2" s="1"/>
  <c r="AC56" i="2"/>
  <c r="AC46" i="2"/>
  <c r="AC41" i="2"/>
  <c r="AC36" i="2"/>
  <c r="AC31" i="2"/>
  <c r="AC26" i="2"/>
  <c r="AC21" i="2"/>
  <c r="AC16" i="2"/>
  <c r="AC51" i="2"/>
  <c r="AC10" i="2"/>
  <c r="AC79" i="2" s="1"/>
  <c r="AC9" i="2"/>
  <c r="AC78" i="2" s="1"/>
  <c r="AC8" i="2"/>
  <c r="AB10" i="2"/>
  <c r="AB79" i="2" s="1"/>
  <c r="AB9" i="2"/>
  <c r="AB78" i="2" s="1"/>
  <c r="AB61" i="2"/>
  <c r="AB64" i="2" s="1"/>
  <c r="AB8" i="2"/>
  <c r="AB85" i="2"/>
  <c r="AB72" i="2"/>
  <c r="AB68" i="2"/>
  <c r="AB56" i="2"/>
  <c r="AB46" i="2"/>
  <c r="AB41" i="2"/>
  <c r="AB36" i="2"/>
  <c r="AB31" i="2"/>
  <c r="AB26" i="2"/>
  <c r="AB21" i="2"/>
  <c r="AB16" i="2"/>
  <c r="AB51" i="2"/>
  <c r="AA85" i="2"/>
  <c r="AA72" i="2"/>
  <c r="AA68" i="2"/>
  <c r="AA61" i="2"/>
  <c r="AA64" i="2" s="1"/>
  <c r="AA56" i="2"/>
  <c r="AA46" i="2"/>
  <c r="AA41" i="2"/>
  <c r="AA36" i="2"/>
  <c r="AA31" i="2"/>
  <c r="AA26" i="2"/>
  <c r="AA21" i="2"/>
  <c r="AA16" i="2"/>
  <c r="AA51" i="2"/>
  <c r="AA10" i="2"/>
  <c r="AA79" i="2" s="1"/>
  <c r="AA9" i="2"/>
  <c r="AA78" i="2" s="1"/>
  <c r="AA8" i="2"/>
  <c r="Z8" i="2"/>
  <c r="Z61" i="2"/>
  <c r="Z9" i="2"/>
  <c r="Z78" i="2" s="1"/>
  <c r="Z10" i="2"/>
  <c r="Z85" i="2"/>
  <c r="Z51" i="2"/>
  <c r="Z16" i="2"/>
  <c r="Z21" i="2"/>
  <c r="Z26" i="2"/>
  <c r="Z31" i="2"/>
  <c r="Z36" i="2"/>
  <c r="Z56" i="2"/>
  <c r="Z41" i="2"/>
  <c r="Z46" i="2"/>
  <c r="Z68" i="2"/>
  <c r="Z72" i="2"/>
  <c r="AQ77" i="2"/>
  <c r="Y8" i="2"/>
  <c r="Y61" i="2"/>
  <c r="Y64" i="2" s="1"/>
  <c r="Y9" i="2"/>
  <c r="Y78" i="2" s="1"/>
  <c r="Y79" i="2"/>
  <c r="Y85" i="2"/>
  <c r="Y51" i="2"/>
  <c r="Y16" i="2"/>
  <c r="Y21" i="2"/>
  <c r="Y26" i="2"/>
  <c r="Y31" i="2"/>
  <c r="Y36" i="2"/>
  <c r="Y56" i="2"/>
  <c r="Y41" i="2"/>
  <c r="Y46" i="2"/>
  <c r="Y68" i="2"/>
  <c r="Y72" i="2"/>
  <c r="M61" i="2"/>
  <c r="M64" i="2" s="1"/>
  <c r="X9" i="2"/>
  <c r="X78" i="2" s="1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Q51" i="2"/>
  <c r="AQ26" i="2"/>
  <c r="AQ31" i="2"/>
  <c r="AQ46" i="2"/>
  <c r="AQ68" i="2"/>
  <c r="AQ72" i="2"/>
  <c r="X8" i="2"/>
  <c r="X10" i="2"/>
  <c r="X79" i="2" s="1"/>
  <c r="X51" i="2"/>
  <c r="X16" i="2"/>
  <c r="X21" i="2"/>
  <c r="X26" i="2"/>
  <c r="X31" i="2"/>
  <c r="X36" i="2"/>
  <c r="X41" i="2"/>
  <c r="X46" i="2"/>
  <c r="X56" i="2"/>
  <c r="X61" i="2"/>
  <c r="X64" i="2" s="1"/>
  <c r="X68" i="2"/>
  <c r="X72" i="2"/>
  <c r="W8" i="2"/>
  <c r="W11" i="2" s="1"/>
  <c r="W16" i="2"/>
  <c r="W21" i="2"/>
  <c r="W26" i="2"/>
  <c r="W31" i="2"/>
  <c r="W36" i="2"/>
  <c r="W56" i="2"/>
  <c r="W41" i="2"/>
  <c r="W61" i="2"/>
  <c r="W64" i="2" s="1"/>
  <c r="W46" i="2"/>
  <c r="W51" i="2"/>
  <c r="W68" i="2"/>
  <c r="W72" i="2"/>
  <c r="V8" i="2"/>
  <c r="V10" i="2"/>
  <c r="V16" i="2"/>
  <c r="V21" i="2"/>
  <c r="V26" i="2"/>
  <c r="V31" i="2"/>
  <c r="V36" i="2"/>
  <c r="V41" i="2"/>
  <c r="V46" i="2"/>
  <c r="V56" i="2"/>
  <c r="V61" i="2"/>
  <c r="V64" i="2" s="1"/>
  <c r="V51" i="2"/>
  <c r="V68" i="2"/>
  <c r="V72" i="2"/>
  <c r="U8" i="2"/>
  <c r="U10" i="2"/>
  <c r="U79" i="2" s="1"/>
  <c r="U16" i="2"/>
  <c r="U21" i="2"/>
  <c r="U56" i="2"/>
  <c r="U41" i="2"/>
  <c r="U46" i="2"/>
  <c r="U61" i="2"/>
  <c r="U64" i="2" s="1"/>
  <c r="U31" i="2"/>
  <c r="U36" i="2"/>
  <c r="U51" i="2"/>
  <c r="U26" i="2"/>
  <c r="U68" i="2"/>
  <c r="U72" i="2"/>
  <c r="T11" i="2"/>
  <c r="T16" i="2"/>
  <c r="T21" i="2"/>
  <c r="T31" i="2"/>
  <c r="T36" i="2"/>
  <c r="T41" i="2"/>
  <c r="T46" i="2"/>
  <c r="T56" i="2"/>
  <c r="T61" i="2"/>
  <c r="T64" i="2" s="1"/>
  <c r="T51" i="2"/>
  <c r="T26" i="2"/>
  <c r="T68" i="2"/>
  <c r="T72" i="2"/>
  <c r="S11" i="2"/>
  <c r="S16" i="2"/>
  <c r="S21" i="2"/>
  <c r="S31" i="2"/>
  <c r="S36" i="2"/>
  <c r="S41" i="2"/>
  <c r="S46" i="2"/>
  <c r="S56" i="2"/>
  <c r="S61" i="2"/>
  <c r="S77" i="2" s="1"/>
  <c r="S63" i="2"/>
  <c r="S51" i="2"/>
  <c r="S26" i="2"/>
  <c r="S68" i="2"/>
  <c r="S72" i="2"/>
  <c r="R11" i="2"/>
  <c r="R16" i="2"/>
  <c r="R21" i="2"/>
  <c r="R31" i="2"/>
  <c r="R36" i="2"/>
  <c r="R41" i="2"/>
  <c r="R46" i="2"/>
  <c r="R56" i="2"/>
  <c r="R61" i="2"/>
  <c r="R77" i="2" s="1"/>
  <c r="R63" i="2"/>
  <c r="R51" i="2"/>
  <c r="R26" i="2"/>
  <c r="R68" i="2"/>
  <c r="R72" i="2"/>
  <c r="Q11" i="2"/>
  <c r="Q16" i="2"/>
  <c r="Q21" i="2"/>
  <c r="Q31" i="2"/>
  <c r="Q36" i="2"/>
  <c r="Q41" i="2"/>
  <c r="Q46" i="2"/>
  <c r="Q56" i="2"/>
  <c r="Q61" i="2"/>
  <c r="Q77" i="2" s="1"/>
  <c r="Q63" i="2"/>
  <c r="Q79" i="2" s="1"/>
  <c r="Q51" i="2"/>
  <c r="Q26" i="2"/>
  <c r="Q68" i="2"/>
  <c r="Q72" i="2"/>
  <c r="P11" i="2"/>
  <c r="P16" i="2"/>
  <c r="P21" i="2"/>
  <c r="P31" i="2"/>
  <c r="P36" i="2"/>
  <c r="P41" i="2"/>
  <c r="P46" i="2"/>
  <c r="P56" i="2"/>
  <c r="P61" i="2"/>
  <c r="P77" i="2" s="1"/>
  <c r="P51" i="2"/>
  <c r="P26" i="2"/>
  <c r="P68" i="2"/>
  <c r="P72" i="2"/>
  <c r="O11" i="2"/>
  <c r="O16" i="2"/>
  <c r="O21" i="2"/>
  <c r="O31" i="2"/>
  <c r="O36" i="2"/>
  <c r="O41" i="2"/>
  <c r="O46" i="2"/>
  <c r="O56" i="2"/>
  <c r="O61" i="2"/>
  <c r="O77" i="2" s="1"/>
  <c r="O51" i="2"/>
  <c r="O26" i="2"/>
  <c r="O68" i="2"/>
  <c r="O72" i="2"/>
  <c r="N11" i="2"/>
  <c r="N16" i="2"/>
  <c r="N21" i="2"/>
  <c r="N31" i="2"/>
  <c r="N36" i="2"/>
  <c r="N41" i="2"/>
  <c r="N46" i="2"/>
  <c r="N56" i="2"/>
  <c r="N61" i="2"/>
  <c r="N77" i="2" s="1"/>
  <c r="N51" i="2"/>
  <c r="N26" i="2"/>
  <c r="N68" i="2"/>
  <c r="N72" i="2"/>
  <c r="M11" i="2"/>
  <c r="M16" i="2"/>
  <c r="M21" i="2"/>
  <c r="M31" i="2"/>
  <c r="M36" i="2"/>
  <c r="M41" i="2"/>
  <c r="M46" i="2"/>
  <c r="M56" i="2"/>
  <c r="M51" i="2"/>
  <c r="M26" i="2"/>
  <c r="M68" i="2"/>
  <c r="M72" i="2"/>
  <c r="L31" i="2"/>
  <c r="L11" i="2"/>
  <c r="L16" i="2"/>
  <c r="L21" i="2"/>
  <c r="L36" i="2"/>
  <c r="L41" i="2"/>
  <c r="L46" i="2"/>
  <c r="L56" i="2"/>
  <c r="L61" i="2"/>
  <c r="L64" i="2" s="1"/>
  <c r="L51" i="2"/>
  <c r="L26" i="2"/>
  <c r="L68" i="2"/>
  <c r="L72" i="2"/>
  <c r="K31" i="2"/>
  <c r="K11" i="2"/>
  <c r="K16" i="2"/>
  <c r="K21" i="2"/>
  <c r="K36" i="2"/>
  <c r="K41" i="2"/>
  <c r="K46" i="2"/>
  <c r="K61" i="2"/>
  <c r="K77" i="2" s="1"/>
  <c r="K51" i="2"/>
  <c r="K26" i="2"/>
  <c r="K56" i="2"/>
  <c r="K68" i="2"/>
  <c r="K72" i="2"/>
  <c r="J31" i="2"/>
  <c r="J11" i="2"/>
  <c r="J16" i="2"/>
  <c r="J21" i="2"/>
  <c r="J36" i="2"/>
  <c r="J41" i="2"/>
  <c r="J46" i="2"/>
  <c r="J61" i="2"/>
  <c r="J64" i="2" s="1"/>
  <c r="J51" i="2"/>
  <c r="J26" i="2"/>
  <c r="J56" i="2"/>
  <c r="J68" i="2"/>
  <c r="J72" i="2"/>
  <c r="I31" i="2"/>
  <c r="I11" i="2"/>
  <c r="I16" i="2"/>
  <c r="I21" i="2"/>
  <c r="I36" i="2"/>
  <c r="I41" i="2"/>
  <c r="I46" i="2"/>
  <c r="I61" i="2"/>
  <c r="I64" i="2" s="1"/>
  <c r="I51" i="2"/>
  <c r="I26" i="2"/>
  <c r="I56" i="2"/>
  <c r="I68" i="2"/>
  <c r="I72" i="2"/>
  <c r="H31" i="2"/>
  <c r="H11" i="2"/>
  <c r="H16" i="2"/>
  <c r="H21" i="2"/>
  <c r="H36" i="2"/>
  <c r="H41" i="2"/>
  <c r="H46" i="2"/>
  <c r="H61" i="2"/>
  <c r="H64" i="2" s="1"/>
  <c r="H51" i="2"/>
  <c r="H26" i="2"/>
  <c r="H56" i="2"/>
  <c r="H68" i="2"/>
  <c r="H72" i="2"/>
  <c r="G31" i="2"/>
  <c r="G11" i="2"/>
  <c r="G16" i="2"/>
  <c r="G21" i="2"/>
  <c r="G36" i="2"/>
  <c r="G41" i="2"/>
  <c r="G46" i="2"/>
  <c r="G61" i="2"/>
  <c r="G77" i="2" s="1"/>
  <c r="G63" i="2"/>
  <c r="G79" i="2" s="1"/>
  <c r="G51" i="2"/>
  <c r="G26" i="2"/>
  <c r="G56" i="2"/>
  <c r="G68" i="2"/>
  <c r="G72" i="2"/>
  <c r="F31" i="2"/>
  <c r="F11" i="2"/>
  <c r="F16" i="2"/>
  <c r="F21" i="2"/>
  <c r="F36" i="2"/>
  <c r="F41" i="2"/>
  <c r="F46" i="2"/>
  <c r="F61" i="2"/>
  <c r="F77" i="2" s="1"/>
  <c r="F63" i="2"/>
  <c r="F79" i="2" s="1"/>
  <c r="F51" i="2"/>
  <c r="F26" i="2"/>
  <c r="F56" i="2"/>
  <c r="F68" i="2"/>
  <c r="F72" i="2"/>
  <c r="E31" i="2"/>
  <c r="E36" i="2"/>
  <c r="E11" i="2"/>
  <c r="E16" i="2"/>
  <c r="E21" i="2"/>
  <c r="E41" i="2"/>
  <c r="E46" i="2"/>
  <c r="E61" i="2"/>
  <c r="E77" i="2" s="1"/>
  <c r="E63" i="2"/>
  <c r="E79" i="2" s="1"/>
  <c r="E51" i="2"/>
  <c r="E26" i="2"/>
  <c r="E56" i="2"/>
  <c r="E68" i="2"/>
  <c r="E72" i="2"/>
  <c r="D31" i="2"/>
  <c r="D36" i="2"/>
  <c r="D11" i="2"/>
  <c r="D16" i="2"/>
  <c r="D21" i="2"/>
  <c r="D41" i="2"/>
  <c r="D46" i="2"/>
  <c r="D61" i="2"/>
  <c r="D77" i="2" s="1"/>
  <c r="D63" i="2"/>
  <c r="D79" i="2" s="1"/>
  <c r="D51" i="2"/>
  <c r="D26" i="2"/>
  <c r="D56" i="2"/>
  <c r="D68" i="2"/>
  <c r="D72" i="2"/>
  <c r="W79" i="2"/>
  <c r="V79" i="2"/>
  <c r="T79" i="2"/>
  <c r="P79" i="2"/>
  <c r="O79" i="2"/>
  <c r="N79" i="2"/>
  <c r="M79" i="2"/>
  <c r="L79" i="2"/>
  <c r="K79" i="2"/>
  <c r="J79" i="2"/>
  <c r="I79" i="2"/>
  <c r="H79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AQ85" i="2"/>
  <c r="C16" i="2"/>
  <c r="C73" i="2" s="1"/>
  <c r="C51" i="2"/>
  <c r="AA11" i="2"/>
  <c r="E64" i="2"/>
  <c r="X77" i="2"/>
  <c r="R79" i="2"/>
  <c r="S79" i="2"/>
  <c r="AD77" i="2" l="1"/>
  <c r="G64" i="2"/>
  <c r="AA77" i="2"/>
  <c r="N64" i="2"/>
  <c r="N73" i="2" s="1"/>
  <c r="U77" i="2"/>
  <c r="H77" i="2"/>
  <c r="H80" i="2" s="1"/>
  <c r="H86" i="2" s="1"/>
  <c r="W77" i="2"/>
  <c r="W80" i="2" s="1"/>
  <c r="W86" i="2" s="1"/>
  <c r="I77" i="2"/>
  <c r="I80" i="2" s="1"/>
  <c r="I86" i="2" s="1"/>
  <c r="AD11" i="2"/>
  <c r="AD73" i="2" s="1"/>
  <c r="M77" i="2"/>
  <c r="M80" i="2" s="1"/>
  <c r="M86" i="2" s="1"/>
  <c r="AA73" i="2"/>
  <c r="Q64" i="2"/>
  <c r="Q73" i="2" s="1"/>
  <c r="Z11" i="2"/>
  <c r="S80" i="2"/>
  <c r="S86" i="2" s="1"/>
  <c r="S64" i="2"/>
  <c r="S73" i="2" s="1"/>
  <c r="X11" i="2"/>
  <c r="X73" i="2" s="1"/>
  <c r="Y11" i="2"/>
  <c r="Y73" i="2" s="1"/>
  <c r="Z77" i="2"/>
  <c r="Y77" i="2"/>
  <c r="P64" i="2"/>
  <c r="P73" i="2" s="1"/>
  <c r="E80" i="2"/>
  <c r="E86" i="2" s="1"/>
  <c r="G80" i="2"/>
  <c r="G86" i="2" s="1"/>
  <c r="L73" i="2"/>
  <c r="M73" i="2"/>
  <c r="O64" i="2"/>
  <c r="O73" i="2" s="1"/>
  <c r="AB11" i="2"/>
  <c r="AB73" i="2" s="1"/>
  <c r="AC77" i="2"/>
  <c r="AC80" i="2" s="1"/>
  <c r="AC86" i="2" s="1"/>
  <c r="Q80" i="2"/>
  <c r="Q86" i="2" s="1"/>
  <c r="O80" i="2"/>
  <c r="O86" i="2" s="1"/>
  <c r="Z64" i="2"/>
  <c r="Z73" i="2"/>
  <c r="Z79" i="2"/>
  <c r="E73" i="2"/>
  <c r="G73" i="2"/>
  <c r="I73" i="2"/>
  <c r="P80" i="2"/>
  <c r="P86" i="2" s="1"/>
  <c r="T73" i="2"/>
  <c r="V11" i="2"/>
  <c r="V73" i="2" s="1"/>
  <c r="F80" i="2"/>
  <c r="F86" i="2" s="1"/>
  <c r="D80" i="2"/>
  <c r="D86" i="2" s="1"/>
  <c r="J73" i="2"/>
  <c r="R80" i="2"/>
  <c r="R86" i="2" s="1"/>
  <c r="T77" i="2"/>
  <c r="T80" i="2" s="1"/>
  <c r="T86" i="2" s="1"/>
  <c r="X80" i="2"/>
  <c r="X86" i="2" s="1"/>
  <c r="Y80" i="2"/>
  <c r="Y86" i="2" s="1"/>
  <c r="F64" i="2"/>
  <c r="F73" i="2" s="1"/>
  <c r="AB77" i="2"/>
  <c r="AB80" i="2" s="1"/>
  <c r="AB86" i="2" s="1"/>
  <c r="U80" i="2"/>
  <c r="U86" i="2" s="1"/>
  <c r="V77" i="2"/>
  <c r="V80" i="2" s="1"/>
  <c r="V86" i="2" s="1"/>
  <c r="L77" i="2"/>
  <c r="L80" i="2" s="1"/>
  <c r="L86" i="2" s="1"/>
  <c r="AC11" i="2"/>
  <c r="AC73" i="2" s="1"/>
  <c r="J77" i="2"/>
  <c r="J80" i="2" s="1"/>
  <c r="J86" i="2" s="1"/>
  <c r="H73" i="2"/>
  <c r="K64" i="2"/>
  <c r="K73" i="2" s="1"/>
  <c r="R64" i="2"/>
  <c r="R73" i="2" s="1"/>
  <c r="K80" i="2"/>
  <c r="K86" i="2" s="1"/>
  <c r="AD80" i="2"/>
  <c r="AD86" i="2" s="1"/>
  <c r="N80" i="2"/>
  <c r="N86" i="2" s="1"/>
  <c r="U11" i="2"/>
  <c r="U73" i="2" s="1"/>
  <c r="W73" i="2"/>
  <c r="AQ73" i="2"/>
  <c r="AQ80" i="2"/>
  <c r="AQ86" i="2" s="1"/>
  <c r="AA80" i="2"/>
  <c r="AA86" i="2" s="1"/>
  <c r="D64" i="2"/>
  <c r="D73" i="2" s="1"/>
  <c r="Z80" i="2" l="1"/>
  <c r="Z86" i="2" s="1"/>
</calcChain>
</file>

<file path=xl/sharedStrings.xml><?xml version="1.0" encoding="utf-8"?>
<sst xmlns="http://schemas.openxmlformats.org/spreadsheetml/2006/main" count="93" uniqueCount="40">
  <si>
    <t>(Credit Hours Taught)</t>
  </si>
  <si>
    <t>UMSL/WU Engineering</t>
  </si>
  <si>
    <t xml:space="preserve">Graduate School </t>
  </si>
  <si>
    <t>On-Campus Total Credit Hours</t>
  </si>
  <si>
    <t>Summary</t>
  </si>
  <si>
    <t>On-Campus</t>
  </si>
  <si>
    <t>Off-Campus</t>
  </si>
  <si>
    <t>Grand Total Credit Hours</t>
  </si>
  <si>
    <t>UNIVERSITY OF MISSOURI-ST. LOUIS</t>
  </si>
  <si>
    <t xml:space="preserve">    Graduate </t>
  </si>
  <si>
    <t xml:space="preserve">    Subtotal</t>
  </si>
  <si>
    <t>College of Business Administration</t>
  </si>
  <si>
    <t>College of Education</t>
  </si>
  <si>
    <t>Residence Centers</t>
  </si>
  <si>
    <t>Honors College</t>
  </si>
  <si>
    <t>Video</t>
  </si>
  <si>
    <t>TABLE 1-12. FALL STUDENT CREDIT HOUR PRODUCTION</t>
  </si>
  <si>
    <t>College of Optometry</t>
  </si>
  <si>
    <t>Notes:</t>
  </si>
  <si>
    <r>
      <t>College of Fine Arts &amp; Communication</t>
    </r>
    <r>
      <rPr>
        <b/>
        <sz val="6"/>
        <rFont val="Times New Roman"/>
        <family val="1"/>
      </rPr>
      <t>(1)</t>
    </r>
  </si>
  <si>
    <r>
      <t>College of Arts and Sciences</t>
    </r>
    <r>
      <rPr>
        <b/>
        <sz val="6"/>
        <rFont val="Times New Roman"/>
        <family val="1"/>
      </rPr>
      <t>(1)(2)</t>
    </r>
  </si>
  <si>
    <t>College of Nursing</t>
  </si>
  <si>
    <t xml:space="preserve">    Undergraduate (Day)</t>
  </si>
  <si>
    <r>
      <t>Other (CO-OP, Military Science)</t>
    </r>
    <r>
      <rPr>
        <b/>
        <sz val="6"/>
        <rFont val="Times New Roman"/>
        <family val="1"/>
      </rPr>
      <t>(4)</t>
    </r>
  </si>
  <si>
    <r>
      <t>School of Social Work</t>
    </r>
    <r>
      <rPr>
        <b/>
        <sz val="6"/>
        <rFont val="Times New Roman"/>
        <family val="1"/>
      </rPr>
      <t>(2)</t>
    </r>
  </si>
  <si>
    <r>
      <t xml:space="preserve">    Undergraduate (Evening)</t>
    </r>
    <r>
      <rPr>
        <sz val="6"/>
        <rFont val="Times New Roman"/>
        <family val="1"/>
      </rPr>
      <t>(5)</t>
    </r>
  </si>
  <si>
    <r>
      <t xml:space="preserve">    Undergraduate (Evening)</t>
    </r>
    <r>
      <rPr>
        <sz val="6"/>
        <rFont val="Times New Roman"/>
        <family val="1"/>
      </rPr>
      <t>(35)</t>
    </r>
  </si>
  <si>
    <r>
      <t>English as a Second Language</t>
    </r>
    <r>
      <rPr>
        <b/>
        <sz val="6"/>
        <rFont val="Times New Roman"/>
        <family val="1"/>
      </rPr>
      <t>(3)</t>
    </r>
  </si>
  <si>
    <t>1) Departments in the College of Fine Arts &amp; Communications were moved to the College of Arts and Sciences in FY2016. The hours are reported under the College of Arts and Sciences starting in FY2016.</t>
  </si>
  <si>
    <t>2) The School of Social Work became a stand-alone unit in FY2016. It was formerly housed in the College of Arts and Sciences as the School of Social Welfare.</t>
  </si>
  <si>
    <t>3) English as a Second Language hours are reported under the College of Arts and Sciences, beginning in FY2016.</t>
  </si>
  <si>
    <t>4) Military Science hours are reported under the College of Arts and Sciences, beginning in FY2016.</t>
  </si>
  <si>
    <t>5) Evening College ceased operations effective July 1, 2005.</t>
  </si>
  <si>
    <t xml:space="preserve"> </t>
  </si>
  <si>
    <r>
      <t>202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>(6)</t>
    </r>
  </si>
  <si>
    <r>
      <t>2021</t>
    </r>
    <r>
      <rPr>
        <sz val="8"/>
        <rFont val="Times New Roman"/>
        <family val="1"/>
      </rPr>
      <t>(6)</t>
    </r>
  </si>
  <si>
    <t>(6) Due to the Pandemic, the number of evening classes meeting face to face on campus declined in Fall 2020 and Fall 2021 causing a reduction in the number of evening credit hours recorded, however, the majority of these credit hours would be accounted for as asynchronous online courses with no meeting patterns.</t>
  </si>
  <si>
    <r>
      <t>2023</t>
    </r>
    <r>
      <rPr>
        <sz val="8"/>
        <rFont val="Times New Roman"/>
        <family val="1"/>
      </rPr>
      <t>(6)</t>
    </r>
  </si>
  <si>
    <r>
      <t>2022</t>
    </r>
    <r>
      <rPr>
        <sz val="8"/>
        <rFont val="Times New Roman"/>
        <family val="1"/>
      </rPr>
      <t>(6)</t>
    </r>
  </si>
  <si>
    <r>
      <t xml:space="preserve">Source: University of Missouri-St. Louis, Office of the Registrar, </t>
    </r>
    <r>
      <rPr>
        <i/>
        <sz val="9"/>
        <rFont val="Times New Roman"/>
        <family val="1"/>
      </rPr>
      <t xml:space="preserve">Student Credit Hour Report </t>
    </r>
    <r>
      <rPr>
        <sz val="9"/>
        <rFont val="Times New Roman"/>
        <family val="1"/>
      </rPr>
      <t>(most recent Fall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</si>
</sst>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u/>
      <sz val="9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7" fontId="1" fillId="0" borderId="0" xfId="0" applyNumberFormat="1" applyFont="1"/>
    <xf numFmtId="0" fontId="2" fillId="0" borderId="0" xfId="0" applyFont="1"/>
    <xf numFmtId="37" fontId="2" fillId="0" borderId="1" xfId="0" applyNumberFormat="1" applyFont="1" applyBorder="1"/>
    <xf numFmtId="37" fontId="1" fillId="0" borderId="2" xfId="0" applyNumberFormat="1" applyFont="1" applyBorder="1"/>
    <xf numFmtId="0" fontId="1" fillId="0" borderId="2" xfId="0" applyFont="1" applyBorder="1"/>
    <xf numFmtId="0" fontId="2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7" fontId="1" fillId="0" borderId="10" xfId="0" applyNumberFormat="1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0" xfId="0" applyFont="1"/>
    <xf numFmtId="37" fontId="2" fillId="0" borderId="0" xfId="0" applyNumberFormat="1" applyFont="1"/>
    <xf numFmtId="1" fontId="2" fillId="0" borderId="2" xfId="0" applyNumberFormat="1" applyFont="1" applyBorder="1"/>
    <xf numFmtId="37" fontId="2" fillId="0" borderId="2" xfId="0" applyNumberFormat="1" applyFont="1" applyBorder="1"/>
    <xf numFmtId="0" fontId="2" fillId="0" borderId="9" xfId="0" applyFont="1" applyBorder="1"/>
    <xf numFmtId="0" fontId="2" fillId="0" borderId="8" xfId="0" applyFont="1" applyBorder="1"/>
    <xf numFmtId="0" fontId="7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FALL STUDENT CREDIT HOUR PRODUCTION</a:t>
            </a:r>
          </a:p>
        </c:rich>
      </c:tx>
      <c:layout>
        <c:manualLayout>
          <c:xMode val="edge"/>
          <c:yMode val="edge"/>
          <c:x val="0.24780362681937484"/>
          <c:y val="3.6330473616171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3605274192798"/>
          <c:y val="0.17438720704871019"/>
          <c:w val="0.724359440277066"/>
          <c:h val="0.64305262667722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fall_sch_production!$B$76</c:f>
              <c:strCache>
                <c:ptCount val="1"/>
                <c:pt idx="0">
                  <c:v>On-Campus</c:v>
                </c:pt>
              </c:strCache>
            </c:strRef>
          </c:tx>
          <c:invertIfNegative val="0"/>
          <c:cat>
            <c:strRef>
              <c:f>fall_sch_production!$D$6:$AQ$6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2020(6)</c:v>
                </c:pt>
                <c:pt idx="9">
                  <c:v>2021(6)</c:v>
                </c:pt>
                <c:pt idx="10">
                  <c:v>2022(6)</c:v>
                </c:pt>
                <c:pt idx="11">
                  <c:v>2023(6)</c:v>
                </c:pt>
              </c:strCache>
            </c:strRef>
          </c:cat>
          <c:val>
            <c:numRef>
              <c:f>fall_sch_production!$D$80:$AQ$80</c:f>
              <c:numCache>
                <c:formatCode>#,##0_);\(#,##0\)</c:formatCode>
                <c:ptCount val="12"/>
                <c:pt idx="0">
                  <c:v>119047</c:v>
                </c:pt>
                <c:pt idx="1">
                  <c:v>120113</c:v>
                </c:pt>
                <c:pt idx="2">
                  <c:v>120922</c:v>
                </c:pt>
                <c:pt idx="3">
                  <c:v>115555</c:v>
                </c:pt>
                <c:pt idx="4">
                  <c:v>108619</c:v>
                </c:pt>
                <c:pt idx="5">
                  <c:v>108606</c:v>
                </c:pt>
                <c:pt idx="6">
                  <c:v>106750</c:v>
                </c:pt>
                <c:pt idx="7">
                  <c:v>101574</c:v>
                </c:pt>
                <c:pt idx="8">
                  <c:v>97594</c:v>
                </c:pt>
                <c:pt idx="9">
                  <c:v>88013</c:v>
                </c:pt>
                <c:pt idx="10">
                  <c:v>83917</c:v>
                </c:pt>
                <c:pt idx="11">
                  <c:v>81609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E-442C-A0C1-9655289BA3FF}"/>
            </c:ext>
          </c:extLst>
        </c:ser>
        <c:ser>
          <c:idx val="1"/>
          <c:order val="1"/>
          <c:tx>
            <c:strRef>
              <c:f>fall_sch_production!$B$81</c:f>
              <c:strCache>
                <c:ptCount val="1"/>
                <c:pt idx="0">
                  <c:v>Off-Campus</c:v>
                </c:pt>
              </c:strCache>
            </c:strRef>
          </c:tx>
          <c:invertIfNegative val="0"/>
          <c:cat>
            <c:strRef>
              <c:f>fall_sch_production!$D$6:$AQ$6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2020(6)</c:v>
                </c:pt>
                <c:pt idx="9">
                  <c:v>2021(6)</c:v>
                </c:pt>
                <c:pt idx="10">
                  <c:v>2022(6)</c:v>
                </c:pt>
                <c:pt idx="11">
                  <c:v>2023(6)</c:v>
                </c:pt>
              </c:strCache>
            </c:strRef>
          </c:cat>
          <c:val>
            <c:numRef>
              <c:f>fall_sch_production!$D$85:$AQ$85</c:f>
              <c:numCache>
                <c:formatCode>#,##0_);\(#,##0\)</c:formatCode>
                <c:ptCount val="12"/>
                <c:pt idx="0">
                  <c:v>28972</c:v>
                </c:pt>
                <c:pt idx="1">
                  <c:v>27854</c:v>
                </c:pt>
                <c:pt idx="2">
                  <c:v>28672</c:v>
                </c:pt>
                <c:pt idx="3">
                  <c:v>29445</c:v>
                </c:pt>
                <c:pt idx="4">
                  <c:v>34509</c:v>
                </c:pt>
                <c:pt idx="5">
                  <c:v>33231</c:v>
                </c:pt>
                <c:pt idx="6">
                  <c:v>32097</c:v>
                </c:pt>
                <c:pt idx="7">
                  <c:v>32844</c:v>
                </c:pt>
                <c:pt idx="8">
                  <c:v>23109</c:v>
                </c:pt>
                <c:pt idx="9">
                  <c:v>35413</c:v>
                </c:pt>
                <c:pt idx="10">
                  <c:v>36447</c:v>
                </c:pt>
                <c:pt idx="11">
                  <c:v>37196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E-442C-A0C1-9655289B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85728"/>
        <c:axId val="46602112"/>
      </c:barChart>
      <c:catAx>
        <c:axId val="4658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33731507993319"/>
              <c:y val="0.91371583029733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66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0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Student Credit Hour</a:t>
                </a:r>
              </a:p>
            </c:rich>
          </c:tx>
          <c:layout>
            <c:manualLayout>
              <c:xMode val="edge"/>
              <c:yMode val="edge"/>
              <c:x val="1.1834287759484611E-2"/>
              <c:y val="0.34332495005288521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658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138481269386782"/>
          <c:y val="0.41235303795980727"/>
          <c:w val="9.480926389883082E-2"/>
          <c:h val="0.2461400086183257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96</xdr:row>
      <xdr:rowOff>104775</xdr:rowOff>
    </xdr:from>
    <xdr:to>
      <xdr:col>43</xdr:col>
      <xdr:colOff>66675</xdr:colOff>
      <xdr:row>117</xdr:row>
      <xdr:rowOff>95250</xdr:rowOff>
    </xdr:to>
    <xdr:graphicFrame macro="">
      <xdr:nvGraphicFramePr>
        <xdr:cNvPr id="2068" name="Chart 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95250</xdr:colOff>
      <xdr:row>1</xdr:row>
      <xdr:rowOff>0</xdr:rowOff>
    </xdr:from>
    <xdr:to>
      <xdr:col>1</xdr:col>
      <xdr:colOff>1200150</xdr:colOff>
      <xdr:row>4</xdr:row>
      <xdr:rowOff>38100</xdr:rowOff>
    </xdr:to>
    <xdr:pic>
      <xdr:nvPicPr>
        <xdr:cNvPr id="2069" name="Picture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6050"/>
          <a:ext cx="11049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T8" sqref="AT8"/>
    </sheetView>
  </sheetViews>
  <sheetFormatPr defaultColWidth="9.1796875" defaultRowHeight="11.5" x14ac:dyDescent="0.25"/>
  <cols>
    <col min="1" max="1" width="2.1796875" style="1" customWidth="1"/>
    <col min="2" max="2" width="26.54296875" style="1" customWidth="1"/>
    <col min="3" max="3" width="0.81640625" style="1" customWidth="1"/>
    <col min="4" max="31" width="7.1796875" style="2" hidden="1" customWidth="1"/>
    <col min="32" max="33" width="7.1796875" style="2" customWidth="1"/>
    <col min="34" max="37" width="7.1796875" style="2" bestFit="1" customWidth="1"/>
    <col min="38" max="43" width="7.1796875" style="2" customWidth="1"/>
    <col min="44" max="44" width="2.1796875" style="1" customWidth="1"/>
    <col min="45" max="16384" width="9.1796875" style="1"/>
  </cols>
  <sheetData>
    <row r="1" spans="1:44" x14ac:dyDescent="0.25">
      <c r="A1" s="11"/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12"/>
    </row>
    <row r="2" spans="1:44" x14ac:dyDescent="0.25">
      <c r="A2" s="13"/>
      <c r="C2" s="23" t="s">
        <v>8</v>
      </c>
      <c r="D2" s="21"/>
      <c r="E2" s="24"/>
      <c r="F2" s="24"/>
      <c r="G2" s="24"/>
      <c r="H2" s="24"/>
      <c r="I2" s="24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14"/>
    </row>
    <row r="3" spans="1:44" x14ac:dyDescent="0.25">
      <c r="A3" s="13"/>
      <c r="C3" s="15" t="s">
        <v>16</v>
      </c>
      <c r="D3" s="1"/>
      <c r="E3" s="16"/>
      <c r="F3" s="16"/>
      <c r="G3" s="16"/>
      <c r="H3" s="16"/>
      <c r="I3" s="16"/>
      <c r="J3" s="1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4"/>
    </row>
    <row r="4" spans="1:44" ht="12" thickBot="1" x14ac:dyDescent="0.3">
      <c r="A4" s="13"/>
      <c r="C4" s="7" t="s">
        <v>0</v>
      </c>
      <c r="D4" s="8"/>
      <c r="E4" s="9"/>
      <c r="F4" s="9"/>
      <c r="G4" s="9"/>
      <c r="H4" s="9"/>
      <c r="I4" s="9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4"/>
    </row>
    <row r="5" spans="1:44" ht="12" thickTop="1" x14ac:dyDescent="0.25">
      <c r="A5" s="13"/>
      <c r="AR5" s="14"/>
    </row>
    <row r="6" spans="1:44" s="3" customFormat="1" x14ac:dyDescent="0.25">
      <c r="A6" s="17"/>
      <c r="D6" s="10">
        <v>1984</v>
      </c>
      <c r="E6" s="10">
        <v>1985</v>
      </c>
      <c r="F6" s="10">
        <v>1986</v>
      </c>
      <c r="G6" s="10">
        <v>1987</v>
      </c>
      <c r="H6" s="10">
        <v>1988</v>
      </c>
      <c r="I6" s="10">
        <v>1989</v>
      </c>
      <c r="J6" s="10">
        <v>1990</v>
      </c>
      <c r="K6" s="10">
        <v>1991</v>
      </c>
      <c r="L6" s="27">
        <v>1992</v>
      </c>
      <c r="M6" s="27">
        <v>1993</v>
      </c>
      <c r="N6" s="27">
        <v>1994</v>
      </c>
      <c r="O6" s="27">
        <v>1995</v>
      </c>
      <c r="P6" s="27">
        <v>1996</v>
      </c>
      <c r="Q6" s="27">
        <v>1997</v>
      </c>
      <c r="R6" s="27">
        <v>1998</v>
      </c>
      <c r="S6" s="27">
        <v>1999</v>
      </c>
      <c r="T6" s="27">
        <v>2000</v>
      </c>
      <c r="U6" s="27">
        <v>2001</v>
      </c>
      <c r="V6" s="27">
        <v>2002</v>
      </c>
      <c r="W6" s="27">
        <v>2003</v>
      </c>
      <c r="X6" s="27">
        <v>2004</v>
      </c>
      <c r="Y6" s="27">
        <v>2005</v>
      </c>
      <c r="Z6" s="27">
        <v>2006</v>
      </c>
      <c r="AA6" s="27">
        <v>2007</v>
      </c>
      <c r="AB6" s="27">
        <v>2008</v>
      </c>
      <c r="AC6" s="27">
        <v>2009</v>
      </c>
      <c r="AD6" s="27">
        <v>2010</v>
      </c>
      <c r="AE6" s="27">
        <v>2011</v>
      </c>
      <c r="AF6" s="27">
        <v>2012</v>
      </c>
      <c r="AG6" s="27">
        <v>2013</v>
      </c>
      <c r="AH6" s="27">
        <v>2014</v>
      </c>
      <c r="AI6" s="27">
        <v>2015</v>
      </c>
      <c r="AJ6" s="27">
        <v>2016</v>
      </c>
      <c r="AK6" s="27">
        <v>2017</v>
      </c>
      <c r="AL6" s="27">
        <v>2018</v>
      </c>
      <c r="AM6" s="27">
        <v>2019</v>
      </c>
      <c r="AN6" s="32" t="s">
        <v>34</v>
      </c>
      <c r="AO6" s="32" t="s">
        <v>35</v>
      </c>
      <c r="AP6" s="32" t="s">
        <v>38</v>
      </c>
      <c r="AQ6" s="27" t="s">
        <v>37</v>
      </c>
      <c r="AR6" s="18"/>
    </row>
    <row r="7" spans="1:44" x14ac:dyDescent="0.25">
      <c r="A7" s="13"/>
      <c r="B7" s="3" t="s">
        <v>20</v>
      </c>
      <c r="C7" s="3"/>
      <c r="AR7" s="14"/>
    </row>
    <row r="8" spans="1:44" x14ac:dyDescent="0.25">
      <c r="A8" s="13"/>
      <c r="B8" s="1" t="s">
        <v>22</v>
      </c>
      <c r="D8" s="2">
        <v>60091</v>
      </c>
      <c r="E8" s="2">
        <v>57374</v>
      </c>
      <c r="F8" s="2">
        <v>57312</v>
      </c>
      <c r="G8" s="2">
        <v>56587</v>
      </c>
      <c r="H8" s="2">
        <v>57574</v>
      </c>
      <c r="I8" s="2">
        <v>59139</v>
      </c>
      <c r="J8" s="2">
        <v>59337</v>
      </c>
      <c r="K8" s="2">
        <v>57640</v>
      </c>
      <c r="L8" s="2">
        <v>51260</v>
      </c>
      <c r="M8" s="2">
        <v>51987</v>
      </c>
      <c r="N8" s="2">
        <v>52143</v>
      </c>
      <c r="O8" s="2">
        <v>51678</v>
      </c>
      <c r="P8" s="2">
        <v>52867</v>
      </c>
      <c r="Q8" s="2">
        <v>50145</v>
      </c>
      <c r="R8" s="2">
        <v>52180</v>
      </c>
      <c r="S8" s="2">
        <v>52414</v>
      </c>
      <c r="T8" s="2">
        <v>50741</v>
      </c>
      <c r="U8" s="2">
        <f>55120-2358-358</f>
        <v>52404</v>
      </c>
      <c r="V8" s="2">
        <f>46602-416-2068</f>
        <v>44118</v>
      </c>
      <c r="W8" s="2">
        <f>46124-312-1833</f>
        <v>43979</v>
      </c>
      <c r="X8" s="2">
        <f>44381-285-1564-981</f>
        <v>41551</v>
      </c>
      <c r="Y8" s="2">
        <f>46254-398-1921-1776</f>
        <v>42159</v>
      </c>
      <c r="Z8" s="2">
        <f>45522-Z48-Z28-Z33</f>
        <v>41981</v>
      </c>
      <c r="AA8" s="2">
        <f>45660-AA48-AA28-AA33</f>
        <v>42092</v>
      </c>
      <c r="AB8" s="2">
        <f>44568-AB48-AB28-AB33</f>
        <v>41107</v>
      </c>
      <c r="AC8" s="2">
        <f>47285-AC48-AC28-AC33</f>
        <v>43540</v>
      </c>
      <c r="AD8" s="2">
        <f>48989-AD48-AD28-AD33</f>
        <v>45182</v>
      </c>
      <c r="AE8" s="2">
        <f>51611-AE48-AE28-AE33</f>
        <v>47378</v>
      </c>
      <c r="AF8" s="2">
        <f>51922-AF48-AF28-AF33</f>
        <v>48005</v>
      </c>
      <c r="AG8" s="2">
        <f>52428-AG48-AG28-AG33</f>
        <v>48619</v>
      </c>
      <c r="AH8" s="2">
        <f>52344-AH48-AH28-AH33</f>
        <v>48635</v>
      </c>
      <c r="AI8" s="2">
        <f>48993-AI48-AI28-AI33</f>
        <v>45314</v>
      </c>
      <c r="AJ8" s="2">
        <f>53430-AJ33</f>
        <v>51256</v>
      </c>
      <c r="AK8" s="2">
        <f>52849-AK33</f>
        <v>50611</v>
      </c>
      <c r="AL8" s="2">
        <f>50996-AL33</f>
        <v>48804</v>
      </c>
      <c r="AM8" s="2">
        <f>47142-AM33</f>
        <v>44846</v>
      </c>
      <c r="AN8" s="2">
        <f>47723-AN33</f>
        <v>45695</v>
      </c>
      <c r="AO8" s="2">
        <f>40741-AO33</f>
        <v>38825</v>
      </c>
      <c r="AP8" s="2">
        <f>38779-AP33</f>
        <v>36566</v>
      </c>
      <c r="AQ8" s="2">
        <f>37922-AQ33</f>
        <v>35847</v>
      </c>
      <c r="AR8" s="14"/>
    </row>
    <row r="9" spans="1:44" x14ac:dyDescent="0.25">
      <c r="A9" s="13"/>
      <c r="B9" s="1" t="s">
        <v>25</v>
      </c>
      <c r="D9" s="2">
        <v>9911</v>
      </c>
      <c r="E9" s="2">
        <v>9773</v>
      </c>
      <c r="F9" s="2">
        <v>10429</v>
      </c>
      <c r="G9" s="2">
        <v>10713</v>
      </c>
      <c r="H9" s="2">
        <v>11280</v>
      </c>
      <c r="I9" s="2">
        <v>11443</v>
      </c>
      <c r="J9" s="2">
        <v>12557</v>
      </c>
      <c r="K9" s="2">
        <v>12688</v>
      </c>
      <c r="L9" s="2">
        <v>11659</v>
      </c>
      <c r="M9" s="2">
        <v>12293</v>
      </c>
      <c r="N9" s="2">
        <v>11534</v>
      </c>
      <c r="O9" s="2">
        <v>12215</v>
      </c>
      <c r="P9" s="2">
        <v>11728</v>
      </c>
      <c r="Q9" s="2">
        <v>12221</v>
      </c>
      <c r="R9" s="2">
        <v>13094</v>
      </c>
      <c r="S9" s="2">
        <v>12744</v>
      </c>
      <c r="T9" s="2">
        <v>12623</v>
      </c>
      <c r="U9" s="2">
        <v>12295</v>
      </c>
      <c r="V9" s="2">
        <v>10970</v>
      </c>
      <c r="W9" s="2">
        <v>10610</v>
      </c>
      <c r="X9" s="2">
        <f>11036-426</f>
        <v>10610</v>
      </c>
      <c r="Y9" s="2">
        <f>10979-400</f>
        <v>10579</v>
      </c>
      <c r="Z9" s="2">
        <f>10803-Z49-Z29-Z34</f>
        <v>10278</v>
      </c>
      <c r="AA9" s="2">
        <f>11198-AA49-AA29-AA34</f>
        <v>10710</v>
      </c>
      <c r="AB9" s="2">
        <f>9182-AB49-AB29-AB34</f>
        <v>8764</v>
      </c>
      <c r="AC9" s="2">
        <f>9065-AC49-AC29-AC34</f>
        <v>8553</v>
      </c>
      <c r="AD9" s="2">
        <f>8849-AD49-AD29-AD34</f>
        <v>8400</v>
      </c>
      <c r="AE9" s="2">
        <f>7962-AE49-AE29-AE34</f>
        <v>7541</v>
      </c>
      <c r="AF9" s="2">
        <f>8012-AF49-AF29-AF34</f>
        <v>7303</v>
      </c>
      <c r="AG9" s="2">
        <f>7419-AG49-AG29-AG34</f>
        <v>6786</v>
      </c>
      <c r="AH9" s="2">
        <f>7075-AH49-AH29-AH34</f>
        <v>6515</v>
      </c>
      <c r="AI9" s="2">
        <f>6339-AI49-AI29-AI34</f>
        <v>5664</v>
      </c>
      <c r="AJ9" s="2">
        <f>5485-AJ34</f>
        <v>5440</v>
      </c>
      <c r="AK9" s="2">
        <f>5242-AK34</f>
        <v>5155</v>
      </c>
      <c r="AL9" s="2">
        <f>5215-AL34</f>
        <v>5173</v>
      </c>
      <c r="AM9" s="2">
        <f>5132-AM34</f>
        <v>5000</v>
      </c>
      <c r="AN9" s="2">
        <f>1544-AN34</f>
        <v>1397</v>
      </c>
      <c r="AO9" s="2">
        <f>2081-AO34</f>
        <v>2006</v>
      </c>
      <c r="AP9" s="2">
        <f>2727-AP34</f>
        <v>2634</v>
      </c>
      <c r="AQ9" s="2">
        <f>2800-AQ34</f>
        <v>2686</v>
      </c>
      <c r="AR9" s="14"/>
    </row>
    <row r="10" spans="1:44" x14ac:dyDescent="0.25">
      <c r="A10" s="13"/>
      <c r="B10" s="1" t="s">
        <v>9</v>
      </c>
      <c r="D10" s="5">
        <v>1091</v>
      </c>
      <c r="E10" s="5">
        <v>1235</v>
      </c>
      <c r="F10" s="5">
        <v>1416</v>
      </c>
      <c r="G10" s="5">
        <v>1452</v>
      </c>
      <c r="H10" s="5">
        <v>1485</v>
      </c>
      <c r="I10" s="5">
        <v>1691</v>
      </c>
      <c r="J10" s="5">
        <v>1907</v>
      </c>
      <c r="K10" s="5">
        <v>2066</v>
      </c>
      <c r="L10" s="5">
        <v>2026</v>
      </c>
      <c r="M10" s="5">
        <v>2265</v>
      </c>
      <c r="N10" s="5">
        <v>2210</v>
      </c>
      <c r="O10" s="5">
        <v>2594</v>
      </c>
      <c r="P10" s="5">
        <v>2243</v>
      </c>
      <c r="Q10" s="5">
        <v>2299</v>
      </c>
      <c r="R10" s="5">
        <v>2320</v>
      </c>
      <c r="S10" s="5">
        <v>2868</v>
      </c>
      <c r="T10" s="5">
        <v>3320</v>
      </c>
      <c r="U10" s="5">
        <f>3766-18</f>
        <v>3748</v>
      </c>
      <c r="V10" s="5">
        <f>3687-14</f>
        <v>3673</v>
      </c>
      <c r="W10" s="5">
        <v>3894</v>
      </c>
      <c r="X10" s="5">
        <f>3926-654</f>
        <v>3272</v>
      </c>
      <c r="Y10" s="5">
        <v>3981</v>
      </c>
      <c r="Z10" s="5">
        <f>4331-Z50-Z30-Z35</f>
        <v>3743</v>
      </c>
      <c r="AA10" s="5">
        <f>4509-AA50-AA30-AA35</f>
        <v>3692</v>
      </c>
      <c r="AB10" s="5">
        <f>4462-AB50-AB30-AB35</f>
        <v>3687</v>
      </c>
      <c r="AC10" s="5">
        <f>5159-AC50-AC30-AC35</f>
        <v>4262</v>
      </c>
      <c r="AD10" s="5">
        <f>5130-AD50-AD30-AD35</f>
        <v>4171</v>
      </c>
      <c r="AE10" s="5">
        <f>5159-AE50-AE30-AE35</f>
        <v>4169</v>
      </c>
      <c r="AF10" s="5">
        <f>5029-AF50-AF30-AF35</f>
        <v>3886</v>
      </c>
      <c r="AG10" s="5">
        <f>4819-AG50-AG30-AG35</f>
        <v>3607</v>
      </c>
      <c r="AH10" s="5">
        <f>4628-AH50-AH30-AH35</f>
        <v>3448</v>
      </c>
      <c r="AI10" s="5">
        <f>4928-AI50-AI30-AI35</f>
        <v>3561</v>
      </c>
      <c r="AJ10" s="5">
        <f>3705-AJ35</f>
        <v>3705</v>
      </c>
      <c r="AK10" s="5">
        <f>3162-AK35</f>
        <v>3162</v>
      </c>
      <c r="AL10" s="5">
        <f>3038-AL35</f>
        <v>3038</v>
      </c>
      <c r="AM10" s="5">
        <f>3190-AM35</f>
        <v>3190</v>
      </c>
      <c r="AN10" s="5">
        <f>2817-AN35</f>
        <v>2817</v>
      </c>
      <c r="AO10" s="5">
        <f>2794-AO35</f>
        <v>2794</v>
      </c>
      <c r="AP10" s="5">
        <f>2784-AP35</f>
        <v>2784</v>
      </c>
      <c r="AQ10" s="5">
        <f>2424-AQ35</f>
        <v>2424</v>
      </c>
      <c r="AR10" s="14"/>
    </row>
    <row r="11" spans="1:44" x14ac:dyDescent="0.25">
      <c r="A11" s="13"/>
      <c r="B11" s="1" t="s">
        <v>10</v>
      </c>
      <c r="D11" s="2">
        <f t="shared" ref="D11:X11" si="0">SUM(D8:D10)</f>
        <v>71093</v>
      </c>
      <c r="E11" s="2">
        <f t="shared" si="0"/>
        <v>68382</v>
      </c>
      <c r="F11" s="2">
        <f t="shared" si="0"/>
        <v>69157</v>
      </c>
      <c r="G11" s="2">
        <f t="shared" si="0"/>
        <v>68752</v>
      </c>
      <c r="H11" s="2">
        <f t="shared" si="0"/>
        <v>70339</v>
      </c>
      <c r="I11" s="2">
        <f t="shared" si="0"/>
        <v>72273</v>
      </c>
      <c r="J11" s="2">
        <f t="shared" si="0"/>
        <v>73801</v>
      </c>
      <c r="K11" s="2">
        <f t="shared" si="0"/>
        <v>72394</v>
      </c>
      <c r="L11" s="2">
        <f t="shared" si="0"/>
        <v>64945</v>
      </c>
      <c r="M11" s="2">
        <f t="shared" si="0"/>
        <v>66545</v>
      </c>
      <c r="N11" s="2">
        <f t="shared" si="0"/>
        <v>65887</v>
      </c>
      <c r="O11" s="2">
        <f t="shared" si="0"/>
        <v>66487</v>
      </c>
      <c r="P11" s="2">
        <f t="shared" si="0"/>
        <v>66838</v>
      </c>
      <c r="Q11" s="2">
        <f t="shared" si="0"/>
        <v>64665</v>
      </c>
      <c r="R11" s="2">
        <f t="shared" si="0"/>
        <v>67594</v>
      </c>
      <c r="S11" s="2">
        <f t="shared" si="0"/>
        <v>68026</v>
      </c>
      <c r="T11" s="2">
        <f t="shared" si="0"/>
        <v>66684</v>
      </c>
      <c r="U11" s="2">
        <f t="shared" si="0"/>
        <v>68447</v>
      </c>
      <c r="V11" s="2">
        <f t="shared" si="0"/>
        <v>58761</v>
      </c>
      <c r="W11" s="2">
        <f t="shared" si="0"/>
        <v>58483</v>
      </c>
      <c r="X11" s="2">
        <f t="shared" si="0"/>
        <v>55433</v>
      </c>
      <c r="Y11" s="2">
        <f t="shared" ref="Y11:AC11" si="1">SUM(Y8:Y10)</f>
        <v>56719</v>
      </c>
      <c r="Z11" s="2">
        <f t="shared" si="1"/>
        <v>56002</v>
      </c>
      <c r="AA11" s="2">
        <f t="shared" si="1"/>
        <v>56494</v>
      </c>
      <c r="AB11" s="2">
        <f t="shared" si="1"/>
        <v>53558</v>
      </c>
      <c r="AC11" s="2">
        <f t="shared" si="1"/>
        <v>56355</v>
      </c>
      <c r="AD11" s="2">
        <f>SUM(AD8:AD10)</f>
        <v>57753</v>
      </c>
      <c r="AE11" s="2">
        <f t="shared" ref="AE11:AN11" si="2">SUM(AE8:AE10)</f>
        <v>59088</v>
      </c>
      <c r="AF11" s="2">
        <f t="shared" si="2"/>
        <v>59194</v>
      </c>
      <c r="AG11" s="2">
        <f t="shared" si="2"/>
        <v>59012</v>
      </c>
      <c r="AH11" s="2">
        <f t="shared" si="2"/>
        <v>58598</v>
      </c>
      <c r="AI11" s="2">
        <f t="shared" si="2"/>
        <v>54539</v>
      </c>
      <c r="AJ11" s="2">
        <f t="shared" si="2"/>
        <v>60401</v>
      </c>
      <c r="AK11" s="2">
        <f t="shared" si="2"/>
        <v>58928</v>
      </c>
      <c r="AL11" s="2">
        <f t="shared" si="2"/>
        <v>57015</v>
      </c>
      <c r="AM11" s="2">
        <f t="shared" si="2"/>
        <v>53036</v>
      </c>
      <c r="AN11" s="2">
        <f t="shared" si="2"/>
        <v>49909</v>
      </c>
      <c r="AO11" s="2">
        <f t="shared" ref="AO11:AQ11" si="3">SUM(AO8:AO10)</f>
        <v>43625</v>
      </c>
      <c r="AP11" s="2">
        <f t="shared" ref="AP11" si="4">SUM(AP8:AP10)</f>
        <v>41984</v>
      </c>
      <c r="AQ11" s="2">
        <f t="shared" si="3"/>
        <v>40957</v>
      </c>
      <c r="AR11" s="14"/>
    </row>
    <row r="12" spans="1:44" x14ac:dyDescent="0.25">
      <c r="A12" s="13"/>
      <c r="B12" s="3" t="s">
        <v>11</v>
      </c>
      <c r="C12" s="3"/>
      <c r="AR12" s="14"/>
    </row>
    <row r="13" spans="1:44" x14ac:dyDescent="0.25">
      <c r="A13" s="13"/>
      <c r="B13" s="1" t="s">
        <v>22</v>
      </c>
      <c r="D13" s="2">
        <v>15905</v>
      </c>
      <c r="E13" s="2">
        <v>15170</v>
      </c>
      <c r="F13" s="2">
        <v>14771</v>
      </c>
      <c r="G13" s="2">
        <v>14964</v>
      </c>
      <c r="H13" s="2">
        <v>15458</v>
      </c>
      <c r="I13" s="2">
        <v>16114</v>
      </c>
      <c r="J13" s="2">
        <v>15208</v>
      </c>
      <c r="K13" s="2">
        <v>13817</v>
      </c>
      <c r="L13" s="2">
        <v>11931</v>
      </c>
      <c r="M13" s="2">
        <v>10234</v>
      </c>
      <c r="N13" s="2">
        <v>9379</v>
      </c>
      <c r="O13" s="2">
        <v>8310</v>
      </c>
      <c r="P13" s="2">
        <v>8341</v>
      </c>
      <c r="Q13" s="2">
        <v>8799</v>
      </c>
      <c r="R13" s="2">
        <v>9709</v>
      </c>
      <c r="S13" s="2">
        <v>10073</v>
      </c>
      <c r="T13" s="2">
        <v>10605</v>
      </c>
      <c r="U13" s="2">
        <v>11137</v>
      </c>
      <c r="V13" s="2">
        <v>11694</v>
      </c>
      <c r="W13" s="2">
        <v>11767</v>
      </c>
      <c r="X13" s="2">
        <v>11184</v>
      </c>
      <c r="Y13" s="2">
        <v>12108</v>
      </c>
      <c r="Z13" s="2">
        <v>11876</v>
      </c>
      <c r="AA13" s="2">
        <v>12329</v>
      </c>
      <c r="AB13" s="2">
        <v>12318</v>
      </c>
      <c r="AC13" s="2">
        <v>11770</v>
      </c>
      <c r="AD13" s="2">
        <v>11837</v>
      </c>
      <c r="AE13" s="2">
        <v>10942</v>
      </c>
      <c r="AF13" s="2">
        <v>11058</v>
      </c>
      <c r="AG13" s="2">
        <v>11674</v>
      </c>
      <c r="AH13" s="2">
        <v>12218</v>
      </c>
      <c r="AI13" s="2">
        <v>11934</v>
      </c>
      <c r="AJ13" s="2">
        <v>13279</v>
      </c>
      <c r="AK13" s="2">
        <v>13843</v>
      </c>
      <c r="AL13" s="2">
        <v>13677</v>
      </c>
      <c r="AM13" s="2">
        <v>13057</v>
      </c>
      <c r="AN13" s="2">
        <v>13871</v>
      </c>
      <c r="AO13" s="2">
        <v>12075</v>
      </c>
      <c r="AP13" s="2">
        <v>10940</v>
      </c>
      <c r="AQ13" s="2">
        <v>10918</v>
      </c>
      <c r="AR13" s="14"/>
    </row>
    <row r="14" spans="1:44" x14ac:dyDescent="0.25">
      <c r="A14" s="13"/>
      <c r="B14" s="1" t="s">
        <v>25</v>
      </c>
      <c r="D14" s="2">
        <v>5580</v>
      </c>
      <c r="E14" s="2">
        <v>5734</v>
      </c>
      <c r="F14" s="2">
        <v>5574</v>
      </c>
      <c r="G14" s="2">
        <v>5808</v>
      </c>
      <c r="H14" s="2">
        <v>6189</v>
      </c>
      <c r="I14" s="2">
        <v>6621</v>
      </c>
      <c r="J14" s="2">
        <v>6580</v>
      </c>
      <c r="K14" s="2">
        <v>6267</v>
      </c>
      <c r="L14" s="2">
        <v>5398</v>
      </c>
      <c r="M14" s="2">
        <v>5085</v>
      </c>
      <c r="N14" s="2">
        <v>4452</v>
      </c>
      <c r="O14" s="2">
        <v>4155</v>
      </c>
      <c r="P14" s="2">
        <v>4335</v>
      </c>
      <c r="Q14" s="2">
        <v>4429</v>
      </c>
      <c r="R14" s="2">
        <v>4917</v>
      </c>
      <c r="S14" s="2">
        <v>5397</v>
      </c>
      <c r="T14" s="2">
        <v>5694</v>
      </c>
      <c r="U14" s="2">
        <v>5403</v>
      </c>
      <c r="V14" s="2">
        <v>5052</v>
      </c>
      <c r="W14" s="2">
        <v>4471</v>
      </c>
      <c r="X14" s="2">
        <v>4683</v>
      </c>
      <c r="Y14" s="2">
        <v>5119</v>
      </c>
      <c r="Z14" s="2">
        <v>5080</v>
      </c>
      <c r="AA14" s="2">
        <v>5122</v>
      </c>
      <c r="AB14" s="2">
        <v>4833</v>
      </c>
      <c r="AC14" s="2">
        <v>5033</v>
      </c>
      <c r="AD14" s="2">
        <v>4299</v>
      </c>
      <c r="AE14" s="2">
        <v>4455</v>
      </c>
      <c r="AF14" s="2">
        <v>4261</v>
      </c>
      <c r="AG14" s="2">
        <v>4455</v>
      </c>
      <c r="AH14" s="2">
        <v>4451</v>
      </c>
      <c r="AI14" s="2">
        <v>4401</v>
      </c>
      <c r="AJ14" s="2">
        <v>2943</v>
      </c>
      <c r="AK14" s="2">
        <v>3028</v>
      </c>
      <c r="AL14" s="2">
        <v>2619</v>
      </c>
      <c r="AM14" s="2">
        <v>2209</v>
      </c>
      <c r="AN14" s="2">
        <v>828</v>
      </c>
      <c r="AO14" s="2">
        <v>1363</v>
      </c>
      <c r="AP14" s="2">
        <v>1050</v>
      </c>
      <c r="AQ14" s="2">
        <v>678</v>
      </c>
      <c r="AR14" s="14"/>
    </row>
    <row r="15" spans="1:44" x14ac:dyDescent="0.25">
      <c r="A15" s="13"/>
      <c r="B15" s="1" t="s">
        <v>9</v>
      </c>
      <c r="D15" s="5">
        <v>2517</v>
      </c>
      <c r="E15" s="5">
        <v>2478</v>
      </c>
      <c r="F15" s="5">
        <v>2472</v>
      </c>
      <c r="G15" s="5">
        <v>2847</v>
      </c>
      <c r="H15" s="5">
        <v>2910</v>
      </c>
      <c r="I15" s="5">
        <v>3054</v>
      </c>
      <c r="J15" s="5">
        <v>2851</v>
      </c>
      <c r="K15" s="5">
        <v>3172</v>
      </c>
      <c r="L15" s="5">
        <v>2881</v>
      </c>
      <c r="M15" s="5">
        <v>2508</v>
      </c>
      <c r="N15" s="5">
        <v>2142</v>
      </c>
      <c r="O15" s="5">
        <v>2059</v>
      </c>
      <c r="P15" s="5">
        <v>1896</v>
      </c>
      <c r="Q15" s="5">
        <v>1983</v>
      </c>
      <c r="R15" s="5">
        <v>2298</v>
      </c>
      <c r="S15" s="5">
        <v>2178</v>
      </c>
      <c r="T15" s="5">
        <v>2256</v>
      </c>
      <c r="U15" s="5">
        <v>2622</v>
      </c>
      <c r="V15" s="5">
        <v>2790</v>
      </c>
      <c r="W15" s="5">
        <v>2859</v>
      </c>
      <c r="X15" s="5">
        <v>2596</v>
      </c>
      <c r="Y15" s="5">
        <v>2916</v>
      </c>
      <c r="Z15" s="5">
        <v>3325</v>
      </c>
      <c r="AA15" s="5">
        <v>3252</v>
      </c>
      <c r="AB15" s="5">
        <v>2759</v>
      </c>
      <c r="AC15" s="5">
        <v>3191</v>
      </c>
      <c r="AD15" s="5">
        <v>3549</v>
      </c>
      <c r="AE15" s="5">
        <v>3492</v>
      </c>
      <c r="AF15" s="5">
        <v>2855</v>
      </c>
      <c r="AG15" s="5">
        <v>2974</v>
      </c>
      <c r="AH15" s="5">
        <v>2973</v>
      </c>
      <c r="AI15" s="5">
        <v>3289</v>
      </c>
      <c r="AJ15" s="5">
        <v>3174</v>
      </c>
      <c r="AK15" s="5">
        <v>3030</v>
      </c>
      <c r="AL15" s="5">
        <v>2973</v>
      </c>
      <c r="AM15" s="5">
        <v>2919</v>
      </c>
      <c r="AN15" s="5">
        <v>3106</v>
      </c>
      <c r="AO15" s="5">
        <v>3571</v>
      </c>
      <c r="AP15" s="5">
        <v>3957</v>
      </c>
      <c r="AQ15" s="5">
        <v>4296</v>
      </c>
      <c r="AR15" s="14"/>
    </row>
    <row r="16" spans="1:44" x14ac:dyDescent="0.25">
      <c r="A16" s="13"/>
      <c r="B16" s="1" t="s">
        <v>10</v>
      </c>
      <c r="C16" s="2">
        <f t="shared" ref="C16:X16" si="5">SUM(C13:C15)</f>
        <v>0</v>
      </c>
      <c r="D16" s="2">
        <f t="shared" si="5"/>
        <v>24002</v>
      </c>
      <c r="E16" s="2">
        <f t="shared" si="5"/>
        <v>23382</v>
      </c>
      <c r="F16" s="2">
        <f t="shared" si="5"/>
        <v>22817</v>
      </c>
      <c r="G16" s="2">
        <f t="shared" si="5"/>
        <v>23619</v>
      </c>
      <c r="H16" s="2">
        <f t="shared" si="5"/>
        <v>24557</v>
      </c>
      <c r="I16" s="2">
        <f t="shared" si="5"/>
        <v>25789</v>
      </c>
      <c r="J16" s="2">
        <f t="shared" si="5"/>
        <v>24639</v>
      </c>
      <c r="K16" s="2">
        <f t="shared" si="5"/>
        <v>23256</v>
      </c>
      <c r="L16" s="2">
        <f t="shared" si="5"/>
        <v>20210</v>
      </c>
      <c r="M16" s="2">
        <f t="shared" si="5"/>
        <v>17827</v>
      </c>
      <c r="N16" s="2">
        <f t="shared" si="5"/>
        <v>15973</v>
      </c>
      <c r="O16" s="2">
        <f t="shared" si="5"/>
        <v>14524</v>
      </c>
      <c r="P16" s="2">
        <f t="shared" si="5"/>
        <v>14572</v>
      </c>
      <c r="Q16" s="2">
        <f t="shared" si="5"/>
        <v>15211</v>
      </c>
      <c r="R16" s="2">
        <f t="shared" si="5"/>
        <v>16924</v>
      </c>
      <c r="S16" s="2">
        <f t="shared" si="5"/>
        <v>17648</v>
      </c>
      <c r="T16" s="2">
        <f t="shared" si="5"/>
        <v>18555</v>
      </c>
      <c r="U16" s="2">
        <f t="shared" si="5"/>
        <v>19162</v>
      </c>
      <c r="V16" s="2">
        <f t="shared" si="5"/>
        <v>19536</v>
      </c>
      <c r="W16" s="2">
        <f t="shared" si="5"/>
        <v>19097</v>
      </c>
      <c r="X16" s="2">
        <f t="shared" si="5"/>
        <v>18463</v>
      </c>
      <c r="Y16" s="2">
        <f t="shared" ref="Y16:AC16" si="6">SUM(Y13:Y15)</f>
        <v>20143</v>
      </c>
      <c r="Z16" s="2">
        <f t="shared" si="6"/>
        <v>20281</v>
      </c>
      <c r="AA16" s="2">
        <f t="shared" si="6"/>
        <v>20703</v>
      </c>
      <c r="AB16" s="2">
        <f t="shared" si="6"/>
        <v>19910</v>
      </c>
      <c r="AC16" s="2">
        <f t="shared" si="6"/>
        <v>19994</v>
      </c>
      <c r="AD16" s="2">
        <f>SUM(AD13:AD15)</f>
        <v>19685</v>
      </c>
      <c r="AE16" s="2">
        <f t="shared" ref="AE16:AO16" si="7">SUM(AE13:AE15)</f>
        <v>18889</v>
      </c>
      <c r="AF16" s="2">
        <f t="shared" si="7"/>
        <v>18174</v>
      </c>
      <c r="AG16" s="2">
        <f t="shared" si="7"/>
        <v>19103</v>
      </c>
      <c r="AH16" s="2">
        <f t="shared" si="7"/>
        <v>19642</v>
      </c>
      <c r="AI16" s="2">
        <f t="shared" si="7"/>
        <v>19624</v>
      </c>
      <c r="AJ16" s="2">
        <f t="shared" si="7"/>
        <v>19396</v>
      </c>
      <c r="AK16" s="2">
        <f t="shared" si="7"/>
        <v>19901</v>
      </c>
      <c r="AL16" s="2">
        <f t="shared" si="7"/>
        <v>19269</v>
      </c>
      <c r="AM16" s="2">
        <f t="shared" si="7"/>
        <v>18185</v>
      </c>
      <c r="AN16" s="2">
        <f t="shared" si="7"/>
        <v>17805</v>
      </c>
      <c r="AO16" s="2">
        <f t="shared" si="7"/>
        <v>17009</v>
      </c>
      <c r="AP16" s="2">
        <f t="shared" ref="AP16" si="8">SUM(AP13:AP15)</f>
        <v>15947</v>
      </c>
      <c r="AQ16" s="2">
        <f>SUM(AQ13:AQ15)</f>
        <v>15892</v>
      </c>
      <c r="AR16" s="14"/>
    </row>
    <row r="17" spans="1:44" x14ac:dyDescent="0.25">
      <c r="A17" s="13"/>
      <c r="B17" s="3" t="s">
        <v>12</v>
      </c>
      <c r="C17" s="3"/>
      <c r="AR17" s="14"/>
    </row>
    <row r="18" spans="1:44" x14ac:dyDescent="0.25">
      <c r="A18" s="13"/>
      <c r="B18" s="1" t="s">
        <v>22</v>
      </c>
      <c r="D18" s="2">
        <v>4313</v>
      </c>
      <c r="E18" s="2">
        <v>4690</v>
      </c>
      <c r="F18" s="2">
        <v>5721</v>
      </c>
      <c r="G18" s="2">
        <v>5840</v>
      </c>
      <c r="H18" s="2">
        <v>6346</v>
      </c>
      <c r="I18" s="2">
        <v>7114</v>
      </c>
      <c r="J18" s="2">
        <v>8089</v>
      </c>
      <c r="K18" s="2">
        <v>8576</v>
      </c>
      <c r="L18" s="2">
        <v>7980</v>
      </c>
      <c r="M18" s="2">
        <v>8432</v>
      </c>
      <c r="N18" s="2">
        <v>8948</v>
      </c>
      <c r="O18" s="2">
        <v>8552</v>
      </c>
      <c r="P18" s="2">
        <v>8786</v>
      </c>
      <c r="Q18" s="2">
        <v>8398</v>
      </c>
      <c r="R18" s="2">
        <v>8166</v>
      </c>
      <c r="S18" s="2">
        <v>8073</v>
      </c>
      <c r="T18" s="2">
        <v>8218</v>
      </c>
      <c r="U18" s="2">
        <v>7113</v>
      </c>
      <c r="V18" s="2">
        <v>8169</v>
      </c>
      <c r="W18" s="2">
        <v>7962</v>
      </c>
      <c r="X18" s="2">
        <v>7325</v>
      </c>
      <c r="Y18" s="2">
        <v>7024</v>
      </c>
      <c r="Z18" s="2">
        <v>6782</v>
      </c>
      <c r="AA18" s="2">
        <v>6662</v>
      </c>
      <c r="AB18" s="2">
        <v>6811</v>
      </c>
      <c r="AC18" s="2">
        <v>6428</v>
      </c>
      <c r="AD18" s="2">
        <v>6865</v>
      </c>
      <c r="AE18" s="2">
        <v>6057</v>
      </c>
      <c r="AF18" s="2">
        <v>5436</v>
      </c>
      <c r="AG18" s="2">
        <v>5629</v>
      </c>
      <c r="AH18" s="2">
        <v>5639</v>
      </c>
      <c r="AI18" s="2">
        <v>5881</v>
      </c>
      <c r="AJ18" s="2">
        <v>4923</v>
      </c>
      <c r="AK18" s="2">
        <v>4561</v>
      </c>
      <c r="AL18" s="2">
        <v>4365</v>
      </c>
      <c r="AM18" s="2">
        <v>3866</v>
      </c>
      <c r="AN18" s="2">
        <v>4625</v>
      </c>
      <c r="AO18" s="2">
        <v>4452</v>
      </c>
      <c r="AP18" s="2">
        <v>4228</v>
      </c>
      <c r="AQ18" s="2">
        <v>4284</v>
      </c>
      <c r="AR18" s="14"/>
    </row>
    <row r="19" spans="1:44" x14ac:dyDescent="0.25">
      <c r="A19" s="13"/>
      <c r="B19" s="1" t="s">
        <v>25</v>
      </c>
      <c r="D19" s="2">
        <v>956</v>
      </c>
      <c r="E19" s="2">
        <v>813</v>
      </c>
      <c r="F19" s="2">
        <v>1142</v>
      </c>
      <c r="G19" s="2">
        <v>2055</v>
      </c>
      <c r="H19" s="2">
        <v>1923</v>
      </c>
      <c r="I19" s="2">
        <v>2646</v>
      </c>
      <c r="J19" s="2">
        <v>2970</v>
      </c>
      <c r="K19" s="2">
        <v>3029</v>
      </c>
      <c r="L19" s="2">
        <v>2674</v>
      </c>
      <c r="M19" s="2">
        <v>3002</v>
      </c>
      <c r="N19" s="2">
        <v>2759</v>
      </c>
      <c r="O19" s="2">
        <v>2610</v>
      </c>
      <c r="P19" s="2">
        <v>2757</v>
      </c>
      <c r="Q19" s="2">
        <v>2720</v>
      </c>
      <c r="R19" s="2">
        <v>2788</v>
      </c>
      <c r="S19" s="2">
        <v>2866</v>
      </c>
      <c r="T19" s="2">
        <v>2383</v>
      </c>
      <c r="U19" s="2">
        <v>2227</v>
      </c>
      <c r="V19" s="2">
        <v>1999</v>
      </c>
      <c r="W19" s="2">
        <v>1647</v>
      </c>
      <c r="X19" s="2">
        <v>1295</v>
      </c>
      <c r="Y19" s="2">
        <v>1157</v>
      </c>
      <c r="Z19" s="2">
        <v>747</v>
      </c>
      <c r="AA19" s="2">
        <v>809</v>
      </c>
      <c r="AB19" s="2">
        <v>1246</v>
      </c>
      <c r="AC19" s="2">
        <v>1244</v>
      </c>
      <c r="AD19" s="2">
        <v>1582</v>
      </c>
      <c r="AE19" s="2">
        <v>1205</v>
      </c>
      <c r="AF19" s="2">
        <v>971</v>
      </c>
      <c r="AG19" s="2">
        <v>885</v>
      </c>
      <c r="AH19" s="2">
        <v>1110</v>
      </c>
      <c r="AI19" s="2">
        <v>937</v>
      </c>
      <c r="AJ19" s="2">
        <v>610</v>
      </c>
      <c r="AK19" s="2">
        <v>414</v>
      </c>
      <c r="AL19" s="2">
        <v>557</v>
      </c>
      <c r="AM19" s="2">
        <v>894</v>
      </c>
      <c r="AN19" s="2">
        <v>571</v>
      </c>
      <c r="AO19" s="2">
        <v>679</v>
      </c>
      <c r="AP19" s="2">
        <v>566</v>
      </c>
      <c r="AQ19" s="2">
        <v>474</v>
      </c>
      <c r="AR19" s="14"/>
    </row>
    <row r="20" spans="1:44" x14ac:dyDescent="0.25">
      <c r="A20" s="13"/>
      <c r="B20" s="1" t="s">
        <v>9</v>
      </c>
      <c r="D20" s="5">
        <v>2694</v>
      </c>
      <c r="E20" s="5">
        <v>2817</v>
      </c>
      <c r="F20" s="5">
        <v>3267</v>
      </c>
      <c r="G20" s="5">
        <v>3617</v>
      </c>
      <c r="H20" s="5">
        <v>3566</v>
      </c>
      <c r="I20" s="5">
        <v>3695</v>
      </c>
      <c r="J20" s="5">
        <v>4135</v>
      </c>
      <c r="K20" s="5">
        <v>3996</v>
      </c>
      <c r="L20" s="5">
        <v>4029</v>
      </c>
      <c r="M20" s="5">
        <v>4136</v>
      </c>
      <c r="N20" s="5">
        <v>4481</v>
      </c>
      <c r="O20" s="5">
        <v>4601</v>
      </c>
      <c r="P20" s="5">
        <v>4552</v>
      </c>
      <c r="Q20" s="5">
        <v>4252</v>
      </c>
      <c r="R20" s="5">
        <v>3913</v>
      </c>
      <c r="S20" s="5">
        <v>3392</v>
      </c>
      <c r="T20" s="5">
        <v>3531</v>
      </c>
      <c r="U20" s="5">
        <v>3561</v>
      </c>
      <c r="V20" s="5">
        <v>3836</v>
      </c>
      <c r="W20" s="5">
        <v>4139</v>
      </c>
      <c r="X20" s="5">
        <v>4093</v>
      </c>
      <c r="Y20" s="5">
        <v>4339</v>
      </c>
      <c r="Z20" s="5">
        <v>4749</v>
      </c>
      <c r="AA20" s="5">
        <v>4853</v>
      </c>
      <c r="AB20" s="5">
        <v>5086</v>
      </c>
      <c r="AC20" s="5">
        <v>5121</v>
      </c>
      <c r="AD20" s="5">
        <v>4980</v>
      </c>
      <c r="AE20" s="5">
        <v>4797</v>
      </c>
      <c r="AF20" s="5">
        <v>4670</v>
      </c>
      <c r="AG20" s="5">
        <v>4404</v>
      </c>
      <c r="AH20" s="5">
        <v>4906</v>
      </c>
      <c r="AI20" s="5">
        <v>5373</v>
      </c>
      <c r="AJ20" s="5">
        <v>5507</v>
      </c>
      <c r="AK20" s="5">
        <v>7164</v>
      </c>
      <c r="AL20" s="5">
        <v>7393</v>
      </c>
      <c r="AM20" s="5">
        <v>7675</v>
      </c>
      <c r="AN20" s="5">
        <v>6887</v>
      </c>
      <c r="AO20" s="5">
        <v>6388</v>
      </c>
      <c r="AP20" s="5">
        <v>6575</v>
      </c>
      <c r="AQ20" s="5">
        <v>6373</v>
      </c>
      <c r="AR20" s="14"/>
    </row>
    <row r="21" spans="1:44" x14ac:dyDescent="0.25">
      <c r="A21" s="13"/>
      <c r="B21" s="1" t="s">
        <v>10</v>
      </c>
      <c r="D21" s="2">
        <f t="shared" ref="D21:X21" si="9">SUM(D18:D20)</f>
        <v>7963</v>
      </c>
      <c r="E21" s="2">
        <f t="shared" si="9"/>
        <v>8320</v>
      </c>
      <c r="F21" s="2">
        <f t="shared" si="9"/>
        <v>10130</v>
      </c>
      <c r="G21" s="2">
        <f t="shared" si="9"/>
        <v>11512</v>
      </c>
      <c r="H21" s="2">
        <f t="shared" si="9"/>
        <v>11835</v>
      </c>
      <c r="I21" s="2">
        <f t="shared" si="9"/>
        <v>13455</v>
      </c>
      <c r="J21" s="2">
        <f t="shared" si="9"/>
        <v>15194</v>
      </c>
      <c r="K21" s="2">
        <f t="shared" si="9"/>
        <v>15601</v>
      </c>
      <c r="L21" s="2">
        <f t="shared" si="9"/>
        <v>14683</v>
      </c>
      <c r="M21" s="2">
        <f t="shared" si="9"/>
        <v>15570</v>
      </c>
      <c r="N21" s="2">
        <f t="shared" si="9"/>
        <v>16188</v>
      </c>
      <c r="O21" s="2">
        <f t="shared" si="9"/>
        <v>15763</v>
      </c>
      <c r="P21" s="2">
        <f t="shared" si="9"/>
        <v>16095</v>
      </c>
      <c r="Q21" s="2">
        <f t="shared" si="9"/>
        <v>15370</v>
      </c>
      <c r="R21" s="2">
        <f t="shared" si="9"/>
        <v>14867</v>
      </c>
      <c r="S21" s="2">
        <f t="shared" si="9"/>
        <v>14331</v>
      </c>
      <c r="T21" s="2">
        <f t="shared" si="9"/>
        <v>14132</v>
      </c>
      <c r="U21" s="2">
        <f t="shared" si="9"/>
        <v>12901</v>
      </c>
      <c r="V21" s="2">
        <f t="shared" si="9"/>
        <v>14004</v>
      </c>
      <c r="W21" s="2">
        <f t="shared" si="9"/>
        <v>13748</v>
      </c>
      <c r="X21" s="2">
        <f t="shared" si="9"/>
        <v>12713</v>
      </c>
      <c r="Y21" s="2">
        <f t="shared" ref="Y21:AC21" si="10">SUM(Y18:Y20)</f>
        <v>12520</v>
      </c>
      <c r="Z21" s="2">
        <f t="shared" si="10"/>
        <v>12278</v>
      </c>
      <c r="AA21" s="2">
        <f t="shared" si="10"/>
        <v>12324</v>
      </c>
      <c r="AB21" s="2">
        <f t="shared" si="10"/>
        <v>13143</v>
      </c>
      <c r="AC21" s="2">
        <f t="shared" si="10"/>
        <v>12793</v>
      </c>
      <c r="AD21" s="2">
        <f>SUM(AD18:AD20)</f>
        <v>13427</v>
      </c>
      <c r="AE21" s="2">
        <f t="shared" ref="AE21:AO21" si="11">SUM(AE18:AE20)</f>
        <v>12059</v>
      </c>
      <c r="AF21" s="2">
        <f t="shared" si="11"/>
        <v>11077</v>
      </c>
      <c r="AG21" s="2">
        <f t="shared" si="11"/>
        <v>10918</v>
      </c>
      <c r="AH21" s="2">
        <f t="shared" si="11"/>
        <v>11655</v>
      </c>
      <c r="AI21" s="2">
        <f t="shared" si="11"/>
        <v>12191</v>
      </c>
      <c r="AJ21" s="2">
        <f t="shared" si="11"/>
        <v>11040</v>
      </c>
      <c r="AK21" s="2">
        <f t="shared" si="11"/>
        <v>12139</v>
      </c>
      <c r="AL21" s="2">
        <f t="shared" si="11"/>
        <v>12315</v>
      </c>
      <c r="AM21" s="2">
        <f t="shared" si="11"/>
        <v>12435</v>
      </c>
      <c r="AN21" s="2">
        <f t="shared" si="11"/>
        <v>12083</v>
      </c>
      <c r="AO21" s="2">
        <f t="shared" si="11"/>
        <v>11519</v>
      </c>
      <c r="AP21" s="2">
        <f t="shared" ref="AP21" si="12">SUM(AP18:AP20)</f>
        <v>11369</v>
      </c>
      <c r="AQ21" s="2">
        <f>SUM(AQ18:AQ20)</f>
        <v>11131</v>
      </c>
      <c r="AR21" s="14"/>
    </row>
    <row r="22" spans="1:44" ht="12" customHeight="1" x14ac:dyDescent="0.25">
      <c r="A22" s="13"/>
      <c r="B22" s="3" t="s">
        <v>19</v>
      </c>
      <c r="AR22" s="14"/>
    </row>
    <row r="23" spans="1:44" ht="12" customHeight="1" x14ac:dyDescent="0.25">
      <c r="A23" s="13"/>
      <c r="B23" s="1" t="s">
        <v>22</v>
      </c>
      <c r="V23" s="2">
        <v>9020</v>
      </c>
      <c r="W23" s="2">
        <v>9404</v>
      </c>
      <c r="X23" s="2">
        <v>10578</v>
      </c>
      <c r="Y23" s="2">
        <v>11240</v>
      </c>
      <c r="Z23" s="2">
        <v>11278</v>
      </c>
      <c r="AA23" s="2">
        <v>11151</v>
      </c>
      <c r="AB23" s="2">
        <v>11418</v>
      </c>
      <c r="AC23" s="2">
        <v>11880</v>
      </c>
      <c r="AD23" s="2">
        <v>11875</v>
      </c>
      <c r="AE23" s="2">
        <v>11322</v>
      </c>
      <c r="AF23" s="2">
        <v>10678</v>
      </c>
      <c r="AG23" s="2">
        <v>10522</v>
      </c>
      <c r="AH23" s="2">
        <v>10693</v>
      </c>
      <c r="AI23" s="2">
        <v>9722</v>
      </c>
      <c r="AM23" s="2">
        <v>6</v>
      </c>
      <c r="AN23" s="2">
        <v>0</v>
      </c>
      <c r="AO23" s="2">
        <v>0</v>
      </c>
      <c r="AP23" s="2">
        <v>0</v>
      </c>
      <c r="AQ23" s="2">
        <v>0</v>
      </c>
      <c r="AR23" s="14"/>
    </row>
    <row r="24" spans="1:44" ht="12" customHeight="1" x14ac:dyDescent="0.25">
      <c r="A24" s="13"/>
      <c r="B24" s="1" t="s">
        <v>25</v>
      </c>
      <c r="V24" s="2">
        <v>1955</v>
      </c>
      <c r="W24" s="2">
        <v>1812</v>
      </c>
      <c r="X24" s="2">
        <v>1267</v>
      </c>
      <c r="Y24" s="2">
        <v>1039</v>
      </c>
      <c r="Z24" s="2">
        <v>846</v>
      </c>
      <c r="AA24" s="2">
        <v>932</v>
      </c>
      <c r="AB24" s="2">
        <v>784</v>
      </c>
      <c r="AC24" s="2">
        <v>730</v>
      </c>
      <c r="AD24" s="2">
        <v>846</v>
      </c>
      <c r="AE24" s="2">
        <v>808</v>
      </c>
      <c r="AF24" s="2">
        <v>904</v>
      </c>
      <c r="AG24" s="2">
        <v>602</v>
      </c>
      <c r="AH24" s="2">
        <v>624</v>
      </c>
      <c r="AI24" s="2">
        <v>525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14"/>
    </row>
    <row r="25" spans="1:44" ht="12" customHeight="1" x14ac:dyDescent="0.25">
      <c r="A25" s="13"/>
      <c r="B25" s="1" t="s"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204</v>
      </c>
      <c r="W25" s="5">
        <v>224</v>
      </c>
      <c r="X25" s="5">
        <v>271</v>
      </c>
      <c r="Y25" s="5">
        <v>337</v>
      </c>
      <c r="Z25" s="5">
        <v>334</v>
      </c>
      <c r="AA25" s="5">
        <v>269</v>
      </c>
      <c r="AB25" s="5">
        <v>256</v>
      </c>
      <c r="AC25" s="5">
        <v>238</v>
      </c>
      <c r="AD25" s="5">
        <v>249</v>
      </c>
      <c r="AE25" s="5">
        <v>265</v>
      </c>
      <c r="AF25" s="5">
        <v>151</v>
      </c>
      <c r="AG25" s="5">
        <v>239</v>
      </c>
      <c r="AH25" s="5">
        <v>168</v>
      </c>
      <c r="AI25" s="5">
        <v>137</v>
      </c>
      <c r="AJ25" s="5"/>
      <c r="AK25" s="5"/>
      <c r="AL25" s="5"/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14"/>
    </row>
    <row r="26" spans="1:44" ht="12" customHeight="1" x14ac:dyDescent="0.25">
      <c r="A26" s="13"/>
      <c r="B26" s="1" t="s">
        <v>10</v>
      </c>
      <c r="D26" s="2">
        <f t="shared" ref="D26:X26" si="13">SUM(D23:D25)</f>
        <v>0</v>
      </c>
      <c r="E26" s="2">
        <f t="shared" si="13"/>
        <v>0</v>
      </c>
      <c r="F26" s="2">
        <f t="shared" si="13"/>
        <v>0</v>
      </c>
      <c r="G26" s="2">
        <f t="shared" si="13"/>
        <v>0</v>
      </c>
      <c r="H26" s="2">
        <f t="shared" si="13"/>
        <v>0</v>
      </c>
      <c r="I26" s="2">
        <f t="shared" si="13"/>
        <v>0</v>
      </c>
      <c r="J26" s="2">
        <f t="shared" si="13"/>
        <v>0</v>
      </c>
      <c r="K26" s="2">
        <f t="shared" si="13"/>
        <v>0</v>
      </c>
      <c r="L26" s="2">
        <f t="shared" si="13"/>
        <v>0</v>
      </c>
      <c r="M26" s="2">
        <f t="shared" si="13"/>
        <v>0</v>
      </c>
      <c r="N26" s="2">
        <f t="shared" si="13"/>
        <v>0</v>
      </c>
      <c r="O26" s="2">
        <f t="shared" si="13"/>
        <v>0</v>
      </c>
      <c r="P26" s="2">
        <f t="shared" si="13"/>
        <v>0</v>
      </c>
      <c r="Q26" s="2">
        <f t="shared" si="13"/>
        <v>0</v>
      </c>
      <c r="R26" s="2">
        <f t="shared" si="13"/>
        <v>0</v>
      </c>
      <c r="S26" s="2">
        <f t="shared" si="13"/>
        <v>0</v>
      </c>
      <c r="T26" s="2">
        <f t="shared" si="13"/>
        <v>0</v>
      </c>
      <c r="U26" s="2">
        <f t="shared" si="13"/>
        <v>0</v>
      </c>
      <c r="V26" s="2">
        <f t="shared" si="13"/>
        <v>11179</v>
      </c>
      <c r="W26" s="2">
        <f t="shared" si="13"/>
        <v>11440</v>
      </c>
      <c r="X26" s="2">
        <f t="shared" si="13"/>
        <v>12116</v>
      </c>
      <c r="Y26" s="2">
        <f t="shared" ref="Y26:AQ26" si="14">SUM(Y23:Y25)</f>
        <v>12616</v>
      </c>
      <c r="Z26" s="2">
        <f t="shared" si="14"/>
        <v>12458</v>
      </c>
      <c r="AA26" s="2">
        <f t="shared" si="14"/>
        <v>12352</v>
      </c>
      <c r="AB26" s="2">
        <f t="shared" si="14"/>
        <v>12458</v>
      </c>
      <c r="AC26" s="2">
        <f t="shared" si="14"/>
        <v>12848</v>
      </c>
      <c r="AD26" s="2">
        <f>SUM(AD23:AD25)</f>
        <v>12970</v>
      </c>
      <c r="AE26" s="2">
        <f t="shared" ref="AE26:AO26" si="15">SUM(AE23:AE25)</f>
        <v>12395</v>
      </c>
      <c r="AF26" s="2">
        <f t="shared" si="15"/>
        <v>11733</v>
      </c>
      <c r="AG26" s="2">
        <f t="shared" si="15"/>
        <v>11363</v>
      </c>
      <c r="AH26" s="2">
        <f t="shared" si="15"/>
        <v>11485</v>
      </c>
      <c r="AI26" s="2">
        <f t="shared" si="15"/>
        <v>10384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6</v>
      </c>
      <c r="AN26" s="2">
        <f t="shared" si="15"/>
        <v>0</v>
      </c>
      <c r="AO26" s="2">
        <f t="shared" si="15"/>
        <v>0</v>
      </c>
      <c r="AP26" s="2">
        <f t="shared" ref="AP26" si="16">SUM(AP23:AP25)</f>
        <v>0</v>
      </c>
      <c r="AQ26" s="2">
        <f t="shared" si="14"/>
        <v>0</v>
      </c>
      <c r="AR26" s="14"/>
    </row>
    <row r="27" spans="1:44" x14ac:dyDescent="0.25">
      <c r="A27" s="13"/>
      <c r="B27" s="3" t="s">
        <v>27</v>
      </c>
      <c r="AR27" s="14"/>
    </row>
    <row r="28" spans="1:44" x14ac:dyDescent="0.25">
      <c r="A28" s="13"/>
      <c r="B28" s="1" t="s">
        <v>22</v>
      </c>
      <c r="N28" s="2">
        <v>94</v>
      </c>
      <c r="O28" s="2">
        <v>114</v>
      </c>
      <c r="P28" s="2">
        <v>120</v>
      </c>
      <c r="Q28" s="2">
        <v>168</v>
      </c>
      <c r="R28" s="2">
        <v>188</v>
      </c>
      <c r="S28" s="2">
        <v>221</v>
      </c>
      <c r="T28" s="2">
        <v>333</v>
      </c>
      <c r="U28" s="2">
        <v>358</v>
      </c>
      <c r="V28" s="2">
        <v>416</v>
      </c>
      <c r="W28" s="2">
        <v>312</v>
      </c>
      <c r="X28" s="2">
        <v>285</v>
      </c>
      <c r="Y28" s="2">
        <v>398</v>
      </c>
      <c r="Z28" s="2">
        <v>415</v>
      </c>
      <c r="AA28" s="2">
        <v>471</v>
      </c>
      <c r="AB28" s="2">
        <v>400</v>
      </c>
      <c r="AC28" s="2">
        <v>561</v>
      </c>
      <c r="AD28" s="2">
        <v>551</v>
      </c>
      <c r="AE28" s="2">
        <v>787</v>
      </c>
      <c r="AF28" s="2">
        <v>708</v>
      </c>
      <c r="AG28" s="2">
        <v>496</v>
      </c>
      <c r="AH28" s="2">
        <v>414</v>
      </c>
      <c r="AI28" s="2">
        <v>375</v>
      </c>
      <c r="AR28" s="14"/>
    </row>
    <row r="29" spans="1:44" x14ac:dyDescent="0.25">
      <c r="A29" s="13"/>
      <c r="B29" s="1" t="s">
        <v>25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27</v>
      </c>
      <c r="AH29" s="2">
        <v>0</v>
      </c>
      <c r="AI29" s="2">
        <v>0</v>
      </c>
      <c r="AR29" s="14"/>
    </row>
    <row r="30" spans="1:44" x14ac:dyDescent="0.25">
      <c r="A30" s="13"/>
      <c r="B30" s="1" t="s">
        <v>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v>0</v>
      </c>
      <c r="O30" s="5">
        <v>4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18</v>
      </c>
      <c r="V30" s="5">
        <v>14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8</v>
      </c>
      <c r="AC30" s="5">
        <v>18</v>
      </c>
      <c r="AD30" s="5">
        <v>8</v>
      </c>
      <c r="AE30" s="5">
        <v>12</v>
      </c>
      <c r="AF30" s="5">
        <v>8</v>
      </c>
      <c r="AG30" s="5">
        <v>8</v>
      </c>
      <c r="AH30" s="5">
        <v>8</v>
      </c>
      <c r="AI30" s="5">
        <v>22</v>
      </c>
      <c r="AJ30" s="5"/>
      <c r="AK30" s="5"/>
      <c r="AL30" s="5"/>
      <c r="AM30" s="5"/>
      <c r="AN30" s="5"/>
      <c r="AO30" s="5"/>
      <c r="AP30" s="5"/>
      <c r="AQ30" s="5"/>
      <c r="AR30" s="14"/>
    </row>
    <row r="31" spans="1:44" x14ac:dyDescent="0.25">
      <c r="A31" s="13"/>
      <c r="B31" s="1" t="s">
        <v>10</v>
      </c>
      <c r="D31" s="2">
        <f t="shared" ref="D31:X31" si="17">SUM(D28:D30)</f>
        <v>0</v>
      </c>
      <c r="E31" s="2">
        <f t="shared" si="17"/>
        <v>0</v>
      </c>
      <c r="F31" s="2">
        <f t="shared" si="17"/>
        <v>0</v>
      </c>
      <c r="G31" s="2">
        <f t="shared" si="17"/>
        <v>0</v>
      </c>
      <c r="H31" s="2">
        <f t="shared" si="17"/>
        <v>0</v>
      </c>
      <c r="I31" s="2">
        <f t="shared" si="17"/>
        <v>0</v>
      </c>
      <c r="J31" s="2">
        <f t="shared" si="17"/>
        <v>0</v>
      </c>
      <c r="K31" s="2">
        <f t="shared" si="17"/>
        <v>0</v>
      </c>
      <c r="L31" s="2">
        <f t="shared" si="17"/>
        <v>0</v>
      </c>
      <c r="M31" s="2">
        <f t="shared" si="17"/>
        <v>0</v>
      </c>
      <c r="N31" s="2">
        <f t="shared" si="17"/>
        <v>94</v>
      </c>
      <c r="O31" s="2">
        <f t="shared" si="17"/>
        <v>118</v>
      </c>
      <c r="P31" s="2">
        <f t="shared" si="17"/>
        <v>120</v>
      </c>
      <c r="Q31" s="2">
        <f t="shared" si="17"/>
        <v>168</v>
      </c>
      <c r="R31" s="2">
        <f t="shared" si="17"/>
        <v>188</v>
      </c>
      <c r="S31" s="2">
        <f t="shared" si="17"/>
        <v>221</v>
      </c>
      <c r="T31" s="2">
        <f t="shared" si="17"/>
        <v>333</v>
      </c>
      <c r="U31" s="2">
        <f t="shared" si="17"/>
        <v>376</v>
      </c>
      <c r="V31" s="2">
        <f t="shared" si="17"/>
        <v>430</v>
      </c>
      <c r="W31" s="2">
        <f t="shared" si="17"/>
        <v>312</v>
      </c>
      <c r="X31" s="2">
        <f t="shared" si="17"/>
        <v>285</v>
      </c>
      <c r="Y31" s="2">
        <f t="shared" ref="Y31:AQ31" si="18">SUM(Y28:Y30)</f>
        <v>398</v>
      </c>
      <c r="Z31" s="2">
        <f t="shared" si="18"/>
        <v>415</v>
      </c>
      <c r="AA31" s="2">
        <f t="shared" si="18"/>
        <v>471</v>
      </c>
      <c r="AB31" s="2">
        <f t="shared" si="18"/>
        <v>408</v>
      </c>
      <c r="AC31" s="2">
        <f t="shared" si="18"/>
        <v>579</v>
      </c>
      <c r="AD31" s="2">
        <f>SUM(AD28:AD30)</f>
        <v>559</v>
      </c>
      <c r="AE31" s="2">
        <f t="shared" ref="AE31:AO31" si="19">SUM(AE28:AE30)</f>
        <v>799</v>
      </c>
      <c r="AF31" s="2">
        <f t="shared" si="19"/>
        <v>716</v>
      </c>
      <c r="AG31" s="2">
        <f t="shared" si="19"/>
        <v>531</v>
      </c>
      <c r="AH31" s="2">
        <f t="shared" si="19"/>
        <v>422</v>
      </c>
      <c r="AI31" s="2">
        <f t="shared" si="19"/>
        <v>397</v>
      </c>
      <c r="AJ31" s="2">
        <f t="shared" si="19"/>
        <v>0</v>
      </c>
      <c r="AK31" s="2">
        <f t="shared" si="19"/>
        <v>0</v>
      </c>
      <c r="AL31" s="2">
        <f t="shared" si="19"/>
        <v>0</v>
      </c>
      <c r="AM31" s="2">
        <f t="shared" si="19"/>
        <v>0</v>
      </c>
      <c r="AN31" s="2">
        <f t="shared" si="19"/>
        <v>0</v>
      </c>
      <c r="AO31" s="2">
        <f t="shared" si="19"/>
        <v>0</v>
      </c>
      <c r="AP31" s="2">
        <f t="shared" ref="AP31" si="20">SUM(AP28:AP30)</f>
        <v>0</v>
      </c>
      <c r="AQ31" s="2">
        <f t="shared" si="18"/>
        <v>0</v>
      </c>
      <c r="AR31" s="14"/>
    </row>
    <row r="32" spans="1:44" x14ac:dyDescent="0.25">
      <c r="A32" s="13"/>
      <c r="B32" s="3" t="s">
        <v>14</v>
      </c>
      <c r="C32" s="3"/>
      <c r="AR32" s="14"/>
    </row>
    <row r="33" spans="1:44" x14ac:dyDescent="0.25">
      <c r="A33" s="13"/>
      <c r="B33" s="1" t="s">
        <v>22</v>
      </c>
      <c r="G33" s="2">
        <v>354</v>
      </c>
      <c r="H33" s="2">
        <v>493</v>
      </c>
      <c r="I33" s="2">
        <v>450</v>
      </c>
      <c r="J33" s="2">
        <v>466</v>
      </c>
      <c r="K33" s="2">
        <v>559</v>
      </c>
      <c r="L33" s="2">
        <v>416</v>
      </c>
      <c r="M33" s="2">
        <v>473</v>
      </c>
      <c r="N33" s="2">
        <v>633</v>
      </c>
      <c r="O33" s="2">
        <v>863</v>
      </c>
      <c r="P33" s="2">
        <v>816</v>
      </c>
      <c r="Q33" s="2">
        <v>903</v>
      </c>
      <c r="R33" s="2">
        <v>1222</v>
      </c>
      <c r="S33" s="2">
        <v>1510</v>
      </c>
      <c r="T33" s="2">
        <v>2164</v>
      </c>
      <c r="U33" s="2">
        <v>2358</v>
      </c>
      <c r="V33" s="2">
        <v>2068</v>
      </c>
      <c r="W33" s="2">
        <v>1833</v>
      </c>
      <c r="X33" s="2">
        <v>1564</v>
      </c>
      <c r="Y33" s="2">
        <v>1921</v>
      </c>
      <c r="Z33" s="2">
        <v>2010</v>
      </c>
      <c r="AA33" s="2">
        <v>2029</v>
      </c>
      <c r="AB33" s="2">
        <v>2023</v>
      </c>
      <c r="AC33" s="2">
        <v>2003</v>
      </c>
      <c r="AD33" s="2">
        <v>2098</v>
      </c>
      <c r="AE33" s="2">
        <v>2069</v>
      </c>
      <c r="AF33" s="2">
        <v>2088</v>
      </c>
      <c r="AG33" s="2">
        <v>2156</v>
      </c>
      <c r="AH33" s="2">
        <v>2134</v>
      </c>
      <c r="AI33" s="2">
        <v>2184</v>
      </c>
      <c r="AJ33" s="2">
        <v>2174</v>
      </c>
      <c r="AK33" s="2">
        <v>2238</v>
      </c>
      <c r="AL33" s="2">
        <v>2192</v>
      </c>
      <c r="AM33" s="2">
        <v>2296</v>
      </c>
      <c r="AN33" s="2">
        <v>2028</v>
      </c>
      <c r="AO33" s="2">
        <v>1916</v>
      </c>
      <c r="AP33" s="2">
        <v>2213</v>
      </c>
      <c r="AQ33" s="2">
        <v>2075</v>
      </c>
      <c r="AR33" s="14"/>
    </row>
    <row r="34" spans="1:44" x14ac:dyDescent="0.25">
      <c r="A34" s="13"/>
      <c r="B34" s="1" t="s">
        <v>25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36</v>
      </c>
      <c r="AD34" s="2">
        <v>33</v>
      </c>
      <c r="AE34" s="2">
        <v>27</v>
      </c>
      <c r="AF34" s="2">
        <v>54</v>
      </c>
      <c r="AG34" s="2">
        <v>36</v>
      </c>
      <c r="AH34" s="2">
        <v>39</v>
      </c>
      <c r="AI34" s="2">
        <v>54</v>
      </c>
      <c r="AJ34" s="2">
        <v>45</v>
      </c>
      <c r="AK34" s="2">
        <v>87</v>
      </c>
      <c r="AL34" s="2">
        <v>42</v>
      </c>
      <c r="AM34" s="2">
        <v>132</v>
      </c>
      <c r="AN34" s="2">
        <v>147</v>
      </c>
      <c r="AO34" s="2">
        <v>75</v>
      </c>
      <c r="AP34" s="2">
        <v>93</v>
      </c>
      <c r="AQ34" s="2">
        <v>114</v>
      </c>
      <c r="AR34" s="14"/>
    </row>
    <row r="35" spans="1:44" x14ac:dyDescent="0.25">
      <c r="A35" s="13"/>
      <c r="B35" s="1" t="s">
        <v>9</v>
      </c>
      <c r="D35" s="5"/>
      <c r="E35" s="5"/>
      <c r="F35" s="5"/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14"/>
    </row>
    <row r="36" spans="1:44" x14ac:dyDescent="0.25">
      <c r="A36" s="13"/>
      <c r="B36" s="1" t="s">
        <v>10</v>
      </c>
      <c r="D36" s="2">
        <f t="shared" ref="D36:X36" si="21">SUM(D33:D35)</f>
        <v>0</v>
      </c>
      <c r="E36" s="2">
        <f t="shared" si="21"/>
        <v>0</v>
      </c>
      <c r="F36" s="2">
        <f t="shared" si="21"/>
        <v>0</v>
      </c>
      <c r="G36" s="2">
        <f t="shared" si="21"/>
        <v>354</v>
      </c>
      <c r="H36" s="2">
        <f t="shared" si="21"/>
        <v>493</v>
      </c>
      <c r="I36" s="2">
        <f t="shared" si="21"/>
        <v>450</v>
      </c>
      <c r="J36" s="2">
        <f t="shared" si="21"/>
        <v>466</v>
      </c>
      <c r="K36" s="2">
        <f t="shared" si="21"/>
        <v>559</v>
      </c>
      <c r="L36" s="2">
        <f t="shared" si="21"/>
        <v>416</v>
      </c>
      <c r="M36" s="2">
        <f t="shared" si="21"/>
        <v>473</v>
      </c>
      <c r="N36" s="2">
        <f t="shared" si="21"/>
        <v>633</v>
      </c>
      <c r="O36" s="2">
        <f t="shared" si="21"/>
        <v>863</v>
      </c>
      <c r="P36" s="2">
        <f t="shared" si="21"/>
        <v>816</v>
      </c>
      <c r="Q36" s="2">
        <f t="shared" si="21"/>
        <v>903</v>
      </c>
      <c r="R36" s="2">
        <f t="shared" si="21"/>
        <v>1222</v>
      </c>
      <c r="S36" s="2">
        <f t="shared" si="21"/>
        <v>1510</v>
      </c>
      <c r="T36" s="2">
        <f t="shared" si="21"/>
        <v>2164</v>
      </c>
      <c r="U36" s="2">
        <f t="shared" si="21"/>
        <v>2358</v>
      </c>
      <c r="V36" s="2">
        <f t="shared" si="21"/>
        <v>2068</v>
      </c>
      <c r="W36" s="2">
        <f t="shared" si="21"/>
        <v>1833</v>
      </c>
      <c r="X36" s="2">
        <f t="shared" si="21"/>
        <v>1564</v>
      </c>
      <c r="Y36" s="2">
        <f t="shared" ref="Y36:AC36" si="22">SUM(Y33:Y35)</f>
        <v>1921</v>
      </c>
      <c r="Z36" s="2">
        <f t="shared" si="22"/>
        <v>2010</v>
      </c>
      <c r="AA36" s="2">
        <f t="shared" si="22"/>
        <v>2029</v>
      </c>
      <c r="AB36" s="2">
        <f t="shared" si="22"/>
        <v>2023</v>
      </c>
      <c r="AC36" s="2">
        <f t="shared" si="22"/>
        <v>2039</v>
      </c>
      <c r="AD36" s="2">
        <f>SUM(AD33:AD35)</f>
        <v>2131</v>
      </c>
      <c r="AE36" s="2">
        <f t="shared" ref="AE36:AO36" si="23">SUM(AE33:AE35)</f>
        <v>2096</v>
      </c>
      <c r="AF36" s="2">
        <f t="shared" si="23"/>
        <v>2142</v>
      </c>
      <c r="AG36" s="2">
        <f t="shared" si="23"/>
        <v>2192</v>
      </c>
      <c r="AH36" s="2">
        <f t="shared" si="23"/>
        <v>2173</v>
      </c>
      <c r="AI36" s="2">
        <f t="shared" si="23"/>
        <v>2238</v>
      </c>
      <c r="AJ36" s="2">
        <f t="shared" si="23"/>
        <v>2219</v>
      </c>
      <c r="AK36" s="2">
        <f t="shared" si="23"/>
        <v>2325</v>
      </c>
      <c r="AL36" s="2">
        <f t="shared" si="23"/>
        <v>2234</v>
      </c>
      <c r="AM36" s="2">
        <f t="shared" si="23"/>
        <v>2428</v>
      </c>
      <c r="AN36" s="2">
        <f t="shared" si="23"/>
        <v>2175</v>
      </c>
      <c r="AO36" s="2">
        <f t="shared" si="23"/>
        <v>1991</v>
      </c>
      <c r="AP36" s="2">
        <f t="shared" ref="AP36" si="24">SUM(AP33:AP35)</f>
        <v>2306</v>
      </c>
      <c r="AQ36" s="2">
        <f>SUM(AQ33:AQ35)</f>
        <v>2189</v>
      </c>
      <c r="AR36" s="14"/>
    </row>
    <row r="37" spans="1:44" x14ac:dyDescent="0.25">
      <c r="A37" s="13"/>
      <c r="B37" s="3" t="s">
        <v>21</v>
      </c>
      <c r="C37" s="3"/>
      <c r="AR37" s="14"/>
    </row>
    <row r="38" spans="1:44" x14ac:dyDescent="0.25">
      <c r="A38" s="13"/>
      <c r="B38" s="1" t="s">
        <v>22</v>
      </c>
      <c r="D38" s="2">
        <v>481</v>
      </c>
      <c r="E38" s="2">
        <v>512</v>
      </c>
      <c r="F38" s="2">
        <v>595</v>
      </c>
      <c r="G38" s="2">
        <v>560</v>
      </c>
      <c r="H38" s="2">
        <v>684</v>
      </c>
      <c r="I38" s="2">
        <v>628</v>
      </c>
      <c r="J38" s="2">
        <v>572</v>
      </c>
      <c r="K38" s="2">
        <v>545</v>
      </c>
      <c r="L38" s="2">
        <v>378</v>
      </c>
      <c r="M38" s="2">
        <v>271</v>
      </c>
      <c r="N38" s="2">
        <v>4646</v>
      </c>
      <c r="O38" s="2">
        <v>5349</v>
      </c>
      <c r="P38" s="2">
        <v>4689</v>
      </c>
      <c r="Q38" s="2">
        <v>3737</v>
      </c>
      <c r="R38" s="2">
        <v>2820</v>
      </c>
      <c r="S38" s="2">
        <v>2035</v>
      </c>
      <c r="T38" s="2">
        <v>2273</v>
      </c>
      <c r="U38" s="2">
        <v>2133</v>
      </c>
      <c r="V38" s="2">
        <v>2862</v>
      </c>
      <c r="W38" s="2">
        <v>3116</v>
      </c>
      <c r="X38" s="2">
        <v>3514</v>
      </c>
      <c r="Y38" s="2">
        <v>3736</v>
      </c>
      <c r="Z38" s="2">
        <v>3664</v>
      </c>
      <c r="AA38" s="2">
        <v>3525</v>
      </c>
      <c r="AB38" s="2">
        <v>3363</v>
      </c>
      <c r="AC38" s="2">
        <v>3963</v>
      </c>
      <c r="AD38" s="2">
        <v>4232</v>
      </c>
      <c r="AE38" s="2">
        <v>4352</v>
      </c>
      <c r="AF38" s="2">
        <v>4837</v>
      </c>
      <c r="AG38" s="2">
        <v>4890</v>
      </c>
      <c r="AH38" s="2">
        <v>4881</v>
      </c>
      <c r="AI38" s="2">
        <v>4534</v>
      </c>
      <c r="AJ38" s="2">
        <v>4624</v>
      </c>
      <c r="AK38" s="2">
        <v>4714</v>
      </c>
      <c r="AL38" s="2">
        <v>5334</v>
      </c>
      <c r="AM38" s="2">
        <v>4849</v>
      </c>
      <c r="AN38" s="2">
        <v>5830</v>
      </c>
      <c r="AO38" s="2">
        <v>4743</v>
      </c>
      <c r="AP38" s="2">
        <v>4032</v>
      </c>
      <c r="AQ38" s="2">
        <v>3576</v>
      </c>
      <c r="AR38" s="14"/>
    </row>
    <row r="39" spans="1:44" x14ac:dyDescent="0.25">
      <c r="A39" s="13"/>
      <c r="B39" s="1" t="s">
        <v>25</v>
      </c>
      <c r="D39" s="2">
        <v>247</v>
      </c>
      <c r="E39" s="2">
        <v>339</v>
      </c>
      <c r="F39" s="2">
        <v>392</v>
      </c>
      <c r="G39" s="2">
        <v>507</v>
      </c>
      <c r="H39" s="2">
        <v>646</v>
      </c>
      <c r="I39" s="2">
        <v>813</v>
      </c>
      <c r="J39" s="2">
        <v>591</v>
      </c>
      <c r="K39" s="2">
        <v>372</v>
      </c>
      <c r="L39" s="2">
        <v>364</v>
      </c>
      <c r="M39" s="2">
        <v>414</v>
      </c>
      <c r="N39" s="2">
        <v>231</v>
      </c>
      <c r="O39" s="2">
        <v>220</v>
      </c>
      <c r="P39" s="2">
        <v>489</v>
      </c>
      <c r="Q39" s="2">
        <v>449</v>
      </c>
      <c r="R39" s="2">
        <v>471</v>
      </c>
      <c r="S39" s="2">
        <v>140</v>
      </c>
      <c r="T39" s="2">
        <v>245</v>
      </c>
      <c r="U39" s="2">
        <v>219</v>
      </c>
      <c r="V39" s="2">
        <v>291</v>
      </c>
      <c r="W39" s="2">
        <v>309</v>
      </c>
      <c r="X39" s="2">
        <v>165</v>
      </c>
      <c r="Y39" s="2">
        <v>228</v>
      </c>
      <c r="Z39" s="2">
        <v>417</v>
      </c>
      <c r="AA39" s="2">
        <v>498</v>
      </c>
      <c r="AB39" s="2">
        <v>483</v>
      </c>
      <c r="AC39" s="2">
        <v>459</v>
      </c>
      <c r="AD39" s="2">
        <v>369</v>
      </c>
      <c r="AE39" s="2">
        <v>555</v>
      </c>
      <c r="AF39" s="2">
        <v>911</v>
      </c>
      <c r="AG39" s="2">
        <v>1327</v>
      </c>
      <c r="AH39" s="2">
        <v>1169</v>
      </c>
      <c r="AI39" s="2">
        <v>1155</v>
      </c>
      <c r="AJ39" s="2">
        <v>878</v>
      </c>
      <c r="AK39" s="2">
        <v>554</v>
      </c>
      <c r="AL39" s="2">
        <v>344</v>
      </c>
      <c r="AM39" s="2">
        <v>485</v>
      </c>
      <c r="AN39" s="2">
        <v>0</v>
      </c>
      <c r="AO39" s="2">
        <v>0</v>
      </c>
      <c r="AP39" s="2">
        <v>0</v>
      </c>
      <c r="AQ39" s="2">
        <v>0</v>
      </c>
      <c r="AR39" s="14"/>
    </row>
    <row r="40" spans="1:44" x14ac:dyDescent="0.25">
      <c r="A40" s="13"/>
      <c r="B40" s="1" t="s">
        <v>9</v>
      </c>
      <c r="D40" s="5">
        <v>0</v>
      </c>
      <c r="E40" s="5">
        <v>0</v>
      </c>
      <c r="F40" s="5">
        <v>0</v>
      </c>
      <c r="G40" s="5">
        <v>12</v>
      </c>
      <c r="H40" s="5">
        <v>0</v>
      </c>
      <c r="I40" s="5">
        <v>0</v>
      </c>
      <c r="J40" s="5">
        <v>22</v>
      </c>
      <c r="K40" s="5">
        <v>0</v>
      </c>
      <c r="L40" s="5">
        <v>0</v>
      </c>
      <c r="M40" s="5">
        <v>460</v>
      </c>
      <c r="N40" s="5">
        <v>1129</v>
      </c>
      <c r="O40" s="5">
        <v>1340</v>
      </c>
      <c r="P40" s="5">
        <v>1403</v>
      </c>
      <c r="Q40" s="5">
        <v>1202</v>
      </c>
      <c r="R40" s="5">
        <v>1243</v>
      </c>
      <c r="S40" s="5">
        <v>1160</v>
      </c>
      <c r="T40" s="5">
        <v>1010</v>
      </c>
      <c r="U40" s="5">
        <v>914</v>
      </c>
      <c r="V40" s="5">
        <v>963</v>
      </c>
      <c r="W40" s="5">
        <v>755</v>
      </c>
      <c r="X40" s="5">
        <v>891</v>
      </c>
      <c r="Y40" s="5">
        <v>871</v>
      </c>
      <c r="Z40" s="5">
        <v>905</v>
      </c>
      <c r="AA40" s="5">
        <v>966</v>
      </c>
      <c r="AB40" s="5">
        <v>1147</v>
      </c>
      <c r="AC40" s="5">
        <v>1166</v>
      </c>
      <c r="AD40" s="5">
        <v>1292</v>
      </c>
      <c r="AE40" s="5">
        <v>1092</v>
      </c>
      <c r="AF40" s="5">
        <v>974</v>
      </c>
      <c r="AG40" s="5">
        <v>1103</v>
      </c>
      <c r="AH40" s="5">
        <v>1136</v>
      </c>
      <c r="AI40" s="5">
        <v>1322</v>
      </c>
      <c r="AJ40" s="5">
        <v>1340</v>
      </c>
      <c r="AK40" s="5">
        <v>1280</v>
      </c>
      <c r="AL40" s="5">
        <v>1512</v>
      </c>
      <c r="AM40" s="5">
        <v>1577</v>
      </c>
      <c r="AN40" s="5">
        <v>1646</v>
      </c>
      <c r="AO40" s="5">
        <v>1417</v>
      </c>
      <c r="AP40" s="5">
        <v>915</v>
      </c>
      <c r="AQ40" s="5">
        <v>690</v>
      </c>
      <c r="AR40" s="14"/>
    </row>
    <row r="41" spans="1:44" x14ac:dyDescent="0.25">
      <c r="A41" s="13"/>
      <c r="B41" s="1" t="s">
        <v>10</v>
      </c>
      <c r="D41" s="2">
        <f t="shared" ref="D41:X41" si="25">SUM(D38:D40)</f>
        <v>728</v>
      </c>
      <c r="E41" s="2">
        <f t="shared" si="25"/>
        <v>851</v>
      </c>
      <c r="F41" s="2">
        <f t="shared" si="25"/>
        <v>987</v>
      </c>
      <c r="G41" s="2">
        <f t="shared" si="25"/>
        <v>1079</v>
      </c>
      <c r="H41" s="2">
        <f t="shared" si="25"/>
        <v>1330</v>
      </c>
      <c r="I41" s="2">
        <f t="shared" si="25"/>
        <v>1441</v>
      </c>
      <c r="J41" s="2">
        <f t="shared" si="25"/>
        <v>1185</v>
      </c>
      <c r="K41" s="2">
        <f t="shared" si="25"/>
        <v>917</v>
      </c>
      <c r="L41" s="2">
        <f t="shared" si="25"/>
        <v>742</v>
      </c>
      <c r="M41" s="2">
        <f t="shared" si="25"/>
        <v>1145</v>
      </c>
      <c r="N41" s="2">
        <f t="shared" si="25"/>
        <v>6006</v>
      </c>
      <c r="O41" s="2">
        <f t="shared" si="25"/>
        <v>6909</v>
      </c>
      <c r="P41" s="2">
        <f t="shared" si="25"/>
        <v>6581</v>
      </c>
      <c r="Q41" s="2">
        <f t="shared" si="25"/>
        <v>5388</v>
      </c>
      <c r="R41" s="2">
        <f t="shared" si="25"/>
        <v>4534</v>
      </c>
      <c r="S41" s="2">
        <f t="shared" si="25"/>
        <v>3335</v>
      </c>
      <c r="T41" s="2">
        <f t="shared" si="25"/>
        <v>3528</v>
      </c>
      <c r="U41" s="2">
        <f t="shared" si="25"/>
        <v>3266</v>
      </c>
      <c r="V41" s="2">
        <f t="shared" si="25"/>
        <v>4116</v>
      </c>
      <c r="W41" s="2">
        <f t="shared" si="25"/>
        <v>4180</v>
      </c>
      <c r="X41" s="2">
        <f t="shared" si="25"/>
        <v>4570</v>
      </c>
      <c r="Y41" s="2">
        <f t="shared" ref="Y41:AQ41" si="26">SUM(Y38:Y40)</f>
        <v>4835</v>
      </c>
      <c r="Z41" s="2">
        <f t="shared" si="26"/>
        <v>4986</v>
      </c>
      <c r="AA41" s="2">
        <f t="shared" si="26"/>
        <v>4989</v>
      </c>
      <c r="AB41" s="2">
        <f t="shared" si="26"/>
        <v>4993</v>
      </c>
      <c r="AC41" s="2">
        <f t="shared" si="26"/>
        <v>5588</v>
      </c>
      <c r="AD41" s="2">
        <f>SUM(AD38:AD40)</f>
        <v>5893</v>
      </c>
      <c r="AE41" s="2">
        <f t="shared" ref="AE41:AO41" si="27">SUM(AE38:AE40)</f>
        <v>5999</v>
      </c>
      <c r="AF41" s="2">
        <f t="shared" si="27"/>
        <v>6722</v>
      </c>
      <c r="AG41" s="2">
        <f t="shared" si="27"/>
        <v>7320</v>
      </c>
      <c r="AH41" s="2">
        <f t="shared" si="27"/>
        <v>7186</v>
      </c>
      <c r="AI41" s="2">
        <f t="shared" si="27"/>
        <v>7011</v>
      </c>
      <c r="AJ41" s="2">
        <f t="shared" si="27"/>
        <v>6842</v>
      </c>
      <c r="AK41" s="2">
        <f t="shared" si="27"/>
        <v>6548</v>
      </c>
      <c r="AL41" s="2">
        <f t="shared" si="27"/>
        <v>7190</v>
      </c>
      <c r="AM41" s="2">
        <f t="shared" si="27"/>
        <v>6911</v>
      </c>
      <c r="AN41" s="2">
        <f t="shared" si="27"/>
        <v>7476</v>
      </c>
      <c r="AO41" s="2">
        <f t="shared" si="27"/>
        <v>6160</v>
      </c>
      <c r="AP41" s="2">
        <f t="shared" ref="AP41" si="28">SUM(AP38:AP40)</f>
        <v>4947</v>
      </c>
      <c r="AQ41" s="2">
        <f t="shared" si="26"/>
        <v>4266</v>
      </c>
      <c r="AR41" s="14"/>
    </row>
    <row r="42" spans="1:44" x14ac:dyDescent="0.25">
      <c r="A42" s="13"/>
      <c r="B42" s="3" t="s">
        <v>2</v>
      </c>
      <c r="C42" s="3"/>
      <c r="AR42" s="14"/>
    </row>
    <row r="43" spans="1:44" x14ac:dyDescent="0.25">
      <c r="A43" s="13"/>
      <c r="B43" s="1" t="s">
        <v>22</v>
      </c>
      <c r="E43" s="2">
        <v>6</v>
      </c>
      <c r="F43" s="2">
        <v>0</v>
      </c>
      <c r="G43" s="2">
        <v>6</v>
      </c>
      <c r="H43" s="2">
        <v>0</v>
      </c>
      <c r="I43" s="2">
        <v>0</v>
      </c>
      <c r="J43" s="2">
        <v>3</v>
      </c>
      <c r="K43" s="2">
        <v>0</v>
      </c>
      <c r="L43" s="2">
        <v>96</v>
      </c>
      <c r="M43" s="2">
        <v>165</v>
      </c>
      <c r="N43" s="2">
        <v>42</v>
      </c>
      <c r="O43" s="2">
        <v>96</v>
      </c>
      <c r="P43" s="2">
        <v>24</v>
      </c>
      <c r="Q43" s="2">
        <v>72</v>
      </c>
      <c r="R43" s="2">
        <v>24</v>
      </c>
      <c r="S43" s="2">
        <v>21</v>
      </c>
      <c r="T43" s="2">
        <v>18</v>
      </c>
      <c r="U43" s="2">
        <v>39</v>
      </c>
      <c r="V43" s="2">
        <v>9</v>
      </c>
      <c r="W43" s="2">
        <v>15</v>
      </c>
      <c r="X43" s="2">
        <v>24</v>
      </c>
      <c r="Y43" s="2">
        <v>155</v>
      </c>
      <c r="Z43" s="2">
        <v>93</v>
      </c>
      <c r="AA43" s="2">
        <v>28</v>
      </c>
      <c r="AB43" s="2">
        <v>43</v>
      </c>
      <c r="AC43" s="2">
        <v>47</v>
      </c>
      <c r="AD43" s="2">
        <v>46</v>
      </c>
      <c r="AE43" s="2">
        <v>42</v>
      </c>
      <c r="AF43" s="2">
        <v>5</v>
      </c>
      <c r="AR43" s="14"/>
    </row>
    <row r="44" spans="1:44" x14ac:dyDescent="0.25">
      <c r="A44" s="13"/>
      <c r="B44" s="1" t="s">
        <v>25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18</v>
      </c>
      <c r="O44" s="2">
        <v>18</v>
      </c>
      <c r="P44" s="2">
        <v>0</v>
      </c>
      <c r="Q44" s="2">
        <v>15</v>
      </c>
      <c r="R44" s="2">
        <v>0</v>
      </c>
      <c r="S44" s="2">
        <v>0</v>
      </c>
      <c r="T44" s="2">
        <v>9</v>
      </c>
      <c r="U44" s="2">
        <v>43</v>
      </c>
      <c r="V44" s="2">
        <v>72</v>
      </c>
      <c r="W44" s="2">
        <v>0</v>
      </c>
      <c r="X44" s="2">
        <v>0</v>
      </c>
      <c r="Y44" s="2">
        <v>12</v>
      </c>
      <c r="Z44" s="2">
        <v>114</v>
      </c>
      <c r="AA44" s="2">
        <v>90</v>
      </c>
      <c r="AB44" s="2">
        <v>96</v>
      </c>
      <c r="AC44" s="2">
        <v>114</v>
      </c>
      <c r="AD44" s="2">
        <v>108</v>
      </c>
      <c r="AE44" s="2">
        <v>75</v>
      </c>
      <c r="AR44" s="14"/>
    </row>
    <row r="45" spans="1:44" x14ac:dyDescent="0.25">
      <c r="A45" s="13"/>
      <c r="B45" s="1" t="s">
        <v>9</v>
      </c>
      <c r="D45" s="5"/>
      <c r="E45" s="5">
        <v>144</v>
      </c>
      <c r="F45" s="5">
        <v>140</v>
      </c>
      <c r="G45" s="5">
        <v>31</v>
      </c>
      <c r="H45" s="5">
        <v>140</v>
      </c>
      <c r="I45" s="5">
        <v>107</v>
      </c>
      <c r="J45" s="5">
        <v>130</v>
      </c>
      <c r="K45" s="5">
        <v>211</v>
      </c>
      <c r="L45" s="5">
        <v>264</v>
      </c>
      <c r="M45" s="5">
        <v>305</v>
      </c>
      <c r="N45" s="5">
        <v>250</v>
      </c>
      <c r="O45" s="5">
        <v>262</v>
      </c>
      <c r="P45" s="5">
        <v>295</v>
      </c>
      <c r="Q45" s="5">
        <v>234</v>
      </c>
      <c r="R45" s="5">
        <v>380</v>
      </c>
      <c r="S45" s="5">
        <v>443</v>
      </c>
      <c r="T45" s="5">
        <v>315</v>
      </c>
      <c r="U45" s="5">
        <v>327</v>
      </c>
      <c r="V45" s="5">
        <v>408</v>
      </c>
      <c r="W45" s="5">
        <v>478</v>
      </c>
      <c r="X45" s="5">
        <v>537</v>
      </c>
      <c r="Y45" s="5">
        <v>408</v>
      </c>
      <c r="Z45" s="5">
        <v>480</v>
      </c>
      <c r="AA45" s="5">
        <v>308</v>
      </c>
      <c r="AB45" s="5">
        <v>310</v>
      </c>
      <c r="AC45" s="5">
        <v>427</v>
      </c>
      <c r="AD45" s="5">
        <v>494</v>
      </c>
      <c r="AE45" s="5">
        <v>564</v>
      </c>
      <c r="AF45" s="5">
        <v>503</v>
      </c>
      <c r="AG45" s="5">
        <v>450</v>
      </c>
      <c r="AH45" s="5">
        <v>405</v>
      </c>
      <c r="AI45" s="5">
        <v>314</v>
      </c>
      <c r="AJ45" s="5">
        <v>324</v>
      </c>
      <c r="AK45" s="5">
        <v>290</v>
      </c>
      <c r="AL45" s="5">
        <v>320</v>
      </c>
      <c r="AM45" s="5"/>
      <c r="AN45" s="5"/>
      <c r="AO45" s="5"/>
      <c r="AP45" s="5"/>
      <c r="AQ45" s="5"/>
      <c r="AR45" s="14"/>
    </row>
    <row r="46" spans="1:44" x14ac:dyDescent="0.25">
      <c r="A46" s="13"/>
      <c r="B46" s="1" t="s">
        <v>10</v>
      </c>
      <c r="D46" s="2">
        <f t="shared" ref="D46:X46" si="29">SUM(D43:D45)</f>
        <v>0</v>
      </c>
      <c r="E46" s="2">
        <f t="shared" si="29"/>
        <v>150</v>
      </c>
      <c r="F46" s="2">
        <f t="shared" si="29"/>
        <v>140</v>
      </c>
      <c r="G46" s="2">
        <f t="shared" si="29"/>
        <v>37</v>
      </c>
      <c r="H46" s="2">
        <f t="shared" si="29"/>
        <v>140</v>
      </c>
      <c r="I46" s="2">
        <f t="shared" si="29"/>
        <v>107</v>
      </c>
      <c r="J46" s="2">
        <f t="shared" si="29"/>
        <v>133</v>
      </c>
      <c r="K46" s="2">
        <f t="shared" si="29"/>
        <v>211</v>
      </c>
      <c r="L46" s="2">
        <f t="shared" si="29"/>
        <v>360</v>
      </c>
      <c r="M46" s="2">
        <f t="shared" si="29"/>
        <v>470</v>
      </c>
      <c r="N46" s="2">
        <f t="shared" si="29"/>
        <v>310</v>
      </c>
      <c r="O46" s="2">
        <f t="shared" si="29"/>
        <v>376</v>
      </c>
      <c r="P46" s="2">
        <f t="shared" si="29"/>
        <v>319</v>
      </c>
      <c r="Q46" s="2">
        <f t="shared" si="29"/>
        <v>321</v>
      </c>
      <c r="R46" s="2">
        <f t="shared" si="29"/>
        <v>404</v>
      </c>
      <c r="S46" s="2">
        <f t="shared" si="29"/>
        <v>464</v>
      </c>
      <c r="T46" s="2">
        <f t="shared" si="29"/>
        <v>342</v>
      </c>
      <c r="U46" s="2">
        <f t="shared" si="29"/>
        <v>409</v>
      </c>
      <c r="V46" s="2">
        <f t="shared" si="29"/>
        <v>489</v>
      </c>
      <c r="W46" s="2">
        <f t="shared" si="29"/>
        <v>493</v>
      </c>
      <c r="X46" s="2">
        <f t="shared" si="29"/>
        <v>561</v>
      </c>
      <c r="Y46" s="2">
        <f t="shared" ref="Y46:AQ46" si="30">SUM(Y43:Y45)</f>
        <v>575</v>
      </c>
      <c r="Z46" s="2">
        <f t="shared" si="30"/>
        <v>687</v>
      </c>
      <c r="AA46" s="2">
        <f t="shared" si="30"/>
        <v>426</v>
      </c>
      <c r="AB46" s="2">
        <f t="shared" si="30"/>
        <v>449</v>
      </c>
      <c r="AC46" s="2">
        <f t="shared" si="30"/>
        <v>588</v>
      </c>
      <c r="AD46" s="2">
        <f>SUM(AD43:AD45)</f>
        <v>648</v>
      </c>
      <c r="AE46" s="2">
        <f t="shared" ref="AE46:AO46" si="31">SUM(AE43:AE45)</f>
        <v>681</v>
      </c>
      <c r="AF46" s="2">
        <f t="shared" si="31"/>
        <v>508</v>
      </c>
      <c r="AG46" s="2">
        <f t="shared" si="31"/>
        <v>450</v>
      </c>
      <c r="AH46" s="2">
        <f t="shared" si="31"/>
        <v>405</v>
      </c>
      <c r="AI46" s="2">
        <f t="shared" si="31"/>
        <v>314</v>
      </c>
      <c r="AJ46" s="2">
        <f t="shared" si="31"/>
        <v>324</v>
      </c>
      <c r="AK46" s="2">
        <f t="shared" si="31"/>
        <v>290</v>
      </c>
      <c r="AL46" s="2">
        <f t="shared" si="31"/>
        <v>320</v>
      </c>
      <c r="AM46" s="2">
        <f t="shared" si="31"/>
        <v>0</v>
      </c>
      <c r="AN46" s="2">
        <f t="shared" si="31"/>
        <v>0</v>
      </c>
      <c r="AO46" s="2">
        <f t="shared" si="31"/>
        <v>0</v>
      </c>
      <c r="AP46" s="2">
        <f t="shared" ref="AP46" si="32">SUM(AP43:AP45)</f>
        <v>0</v>
      </c>
      <c r="AQ46" s="2">
        <f t="shared" si="30"/>
        <v>0</v>
      </c>
      <c r="AR46" s="14"/>
    </row>
    <row r="47" spans="1:44" ht="12" customHeight="1" x14ac:dyDescent="0.25">
      <c r="A47" s="13"/>
      <c r="B47" s="15" t="s">
        <v>24</v>
      </c>
      <c r="C47" s="3"/>
      <c r="AR47" s="14"/>
    </row>
    <row r="48" spans="1:44" ht="12" customHeight="1" x14ac:dyDescent="0.25">
      <c r="A48" s="13"/>
      <c r="B48" s="1" t="s">
        <v>22</v>
      </c>
      <c r="X48" s="2">
        <v>981</v>
      </c>
      <c r="Y48" s="2">
        <v>1205</v>
      </c>
      <c r="Z48" s="2">
        <v>1116</v>
      </c>
      <c r="AA48" s="2">
        <v>1068</v>
      </c>
      <c r="AB48" s="2">
        <v>1038</v>
      </c>
      <c r="AC48" s="2">
        <v>1181</v>
      </c>
      <c r="AD48" s="2">
        <v>1158</v>
      </c>
      <c r="AE48" s="2">
        <v>1377</v>
      </c>
      <c r="AF48" s="2">
        <v>1121</v>
      </c>
      <c r="AG48" s="2">
        <v>1157</v>
      </c>
      <c r="AH48" s="2">
        <v>1161</v>
      </c>
      <c r="AI48" s="2">
        <v>1120</v>
      </c>
      <c r="AJ48" s="2">
        <v>1214</v>
      </c>
      <c r="AK48" s="2">
        <v>1179</v>
      </c>
      <c r="AL48" s="2">
        <v>1036</v>
      </c>
      <c r="AM48" s="2">
        <v>1161</v>
      </c>
      <c r="AN48" s="2">
        <v>1100</v>
      </c>
      <c r="AO48" s="2">
        <v>1129</v>
      </c>
      <c r="AP48" s="2">
        <v>902</v>
      </c>
      <c r="AQ48" s="2">
        <v>786</v>
      </c>
      <c r="AR48" s="14"/>
    </row>
    <row r="49" spans="1:44" ht="12" customHeight="1" x14ac:dyDescent="0.25">
      <c r="A49" s="13"/>
      <c r="B49" s="1" t="s">
        <v>25</v>
      </c>
      <c r="X49" s="2">
        <v>426</v>
      </c>
      <c r="Y49" s="2">
        <v>400</v>
      </c>
      <c r="Z49" s="2">
        <v>525</v>
      </c>
      <c r="AA49" s="2">
        <v>488</v>
      </c>
      <c r="AB49" s="2">
        <v>418</v>
      </c>
      <c r="AC49" s="2">
        <v>476</v>
      </c>
      <c r="AD49" s="2">
        <v>416</v>
      </c>
      <c r="AE49" s="2">
        <v>394</v>
      </c>
      <c r="AF49" s="2">
        <v>655</v>
      </c>
      <c r="AG49" s="2">
        <v>570</v>
      </c>
      <c r="AH49" s="2">
        <v>521</v>
      </c>
      <c r="AI49" s="2">
        <v>621</v>
      </c>
      <c r="AJ49" s="2">
        <v>680</v>
      </c>
      <c r="AK49" s="2">
        <v>513</v>
      </c>
      <c r="AL49" s="2">
        <v>402</v>
      </c>
      <c r="AM49" s="2">
        <v>324</v>
      </c>
      <c r="AN49" s="2">
        <v>256</v>
      </c>
      <c r="AO49" s="2">
        <v>220</v>
      </c>
      <c r="AP49" s="2">
        <v>269</v>
      </c>
      <c r="AQ49" s="2">
        <v>264</v>
      </c>
      <c r="AR49" s="14"/>
    </row>
    <row r="50" spans="1:44" ht="12" customHeight="1" x14ac:dyDescent="0.25">
      <c r="A50" s="13"/>
      <c r="B50" s="1" t="s">
        <v>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>
        <v>654</v>
      </c>
      <c r="Y50" s="5">
        <v>571</v>
      </c>
      <c r="Z50" s="5">
        <v>588</v>
      </c>
      <c r="AA50" s="5">
        <v>817</v>
      </c>
      <c r="AB50" s="5">
        <v>767</v>
      </c>
      <c r="AC50" s="5">
        <v>879</v>
      </c>
      <c r="AD50" s="5">
        <v>951</v>
      </c>
      <c r="AE50" s="5">
        <v>978</v>
      </c>
      <c r="AF50" s="5">
        <v>1135</v>
      </c>
      <c r="AG50" s="5">
        <v>1204</v>
      </c>
      <c r="AH50" s="5">
        <v>1172</v>
      </c>
      <c r="AI50" s="5">
        <v>1345</v>
      </c>
      <c r="AJ50" s="5">
        <v>1103</v>
      </c>
      <c r="AK50" s="5">
        <v>1276</v>
      </c>
      <c r="AL50" s="5">
        <v>1315</v>
      </c>
      <c r="AM50" s="5">
        <v>1298</v>
      </c>
      <c r="AN50" s="5">
        <v>1312</v>
      </c>
      <c r="AO50" s="5">
        <v>1207</v>
      </c>
      <c r="AP50" s="5">
        <v>1115</v>
      </c>
      <c r="AQ50" s="5">
        <v>991</v>
      </c>
      <c r="AR50" s="14"/>
    </row>
    <row r="51" spans="1:44" ht="12" customHeight="1" x14ac:dyDescent="0.25">
      <c r="A51" s="13"/>
      <c r="B51" s="1" t="s">
        <v>10</v>
      </c>
      <c r="C51" s="2">
        <f t="shared" ref="C51:X51" si="33">SUM(C48:C50)</f>
        <v>0</v>
      </c>
      <c r="D51" s="2">
        <f t="shared" si="33"/>
        <v>0</v>
      </c>
      <c r="E51" s="2">
        <f t="shared" si="33"/>
        <v>0</v>
      </c>
      <c r="F51" s="2">
        <f t="shared" si="33"/>
        <v>0</v>
      </c>
      <c r="G51" s="2">
        <f t="shared" si="33"/>
        <v>0</v>
      </c>
      <c r="H51" s="2">
        <f t="shared" si="33"/>
        <v>0</v>
      </c>
      <c r="I51" s="2">
        <f t="shared" si="33"/>
        <v>0</v>
      </c>
      <c r="J51" s="2">
        <f t="shared" si="33"/>
        <v>0</v>
      </c>
      <c r="K51" s="2">
        <f t="shared" si="33"/>
        <v>0</v>
      </c>
      <c r="L51" s="2">
        <f t="shared" si="33"/>
        <v>0</v>
      </c>
      <c r="M51" s="2">
        <f t="shared" si="33"/>
        <v>0</v>
      </c>
      <c r="N51" s="2">
        <f t="shared" si="33"/>
        <v>0</v>
      </c>
      <c r="O51" s="2">
        <f t="shared" si="33"/>
        <v>0</v>
      </c>
      <c r="P51" s="2">
        <f t="shared" si="33"/>
        <v>0</v>
      </c>
      <c r="Q51" s="2">
        <f t="shared" si="33"/>
        <v>0</v>
      </c>
      <c r="R51" s="2">
        <f t="shared" si="33"/>
        <v>0</v>
      </c>
      <c r="S51" s="2">
        <f t="shared" si="33"/>
        <v>0</v>
      </c>
      <c r="T51" s="2">
        <f t="shared" si="33"/>
        <v>0</v>
      </c>
      <c r="U51" s="2">
        <f t="shared" si="33"/>
        <v>0</v>
      </c>
      <c r="V51" s="2">
        <f t="shared" si="33"/>
        <v>0</v>
      </c>
      <c r="W51" s="2">
        <f t="shared" si="33"/>
        <v>0</v>
      </c>
      <c r="X51" s="2">
        <f t="shared" si="33"/>
        <v>2061</v>
      </c>
      <c r="Y51" s="2">
        <f t="shared" ref="Y51:AQ51" si="34">SUM(Y48:Y50)</f>
        <v>2176</v>
      </c>
      <c r="Z51" s="2">
        <f t="shared" si="34"/>
        <v>2229</v>
      </c>
      <c r="AA51" s="2">
        <f t="shared" si="34"/>
        <v>2373</v>
      </c>
      <c r="AB51" s="2">
        <f t="shared" si="34"/>
        <v>2223</v>
      </c>
      <c r="AC51" s="2">
        <f t="shared" si="34"/>
        <v>2536</v>
      </c>
      <c r="AD51" s="2">
        <f>SUM(AD48:AD50)</f>
        <v>2525</v>
      </c>
      <c r="AE51" s="2">
        <f t="shared" ref="AE51:AO51" si="35">SUM(AE48:AE50)</f>
        <v>2749</v>
      </c>
      <c r="AF51" s="2">
        <f t="shared" si="35"/>
        <v>2911</v>
      </c>
      <c r="AG51" s="2">
        <f t="shared" si="35"/>
        <v>2931</v>
      </c>
      <c r="AH51" s="2">
        <f t="shared" si="35"/>
        <v>2854</v>
      </c>
      <c r="AI51" s="2">
        <f t="shared" si="35"/>
        <v>3086</v>
      </c>
      <c r="AJ51" s="2">
        <f t="shared" si="35"/>
        <v>2997</v>
      </c>
      <c r="AK51" s="2">
        <f t="shared" si="35"/>
        <v>2968</v>
      </c>
      <c r="AL51" s="2">
        <f t="shared" si="35"/>
        <v>2753</v>
      </c>
      <c r="AM51" s="2">
        <f t="shared" si="35"/>
        <v>2783</v>
      </c>
      <c r="AN51" s="2">
        <f t="shared" si="35"/>
        <v>2668</v>
      </c>
      <c r="AO51" s="2">
        <f t="shared" si="35"/>
        <v>2556</v>
      </c>
      <c r="AP51" s="2">
        <f t="shared" ref="AP51" si="36">SUM(AP48:AP50)</f>
        <v>2286</v>
      </c>
      <c r="AQ51" s="2">
        <f t="shared" si="34"/>
        <v>2041</v>
      </c>
      <c r="AR51" s="14"/>
    </row>
    <row r="52" spans="1:44" x14ac:dyDescent="0.25">
      <c r="A52" s="13"/>
      <c r="B52" s="3" t="s">
        <v>1</v>
      </c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4"/>
    </row>
    <row r="53" spans="1:44" x14ac:dyDescent="0.25">
      <c r="A53" s="13"/>
      <c r="B53" s="1" t="s">
        <v>22</v>
      </c>
      <c r="C53" s="3"/>
      <c r="L53" s="2">
        <v>87</v>
      </c>
      <c r="M53" s="2">
        <v>0</v>
      </c>
      <c r="N53" s="2">
        <v>144</v>
      </c>
      <c r="O53" s="2">
        <v>138</v>
      </c>
      <c r="P53" s="2">
        <v>159</v>
      </c>
      <c r="Q53" s="2">
        <v>63</v>
      </c>
      <c r="R53" s="2">
        <v>72</v>
      </c>
      <c r="S53" s="2">
        <v>72</v>
      </c>
      <c r="T53" s="2">
        <v>48</v>
      </c>
      <c r="U53" s="2">
        <v>104</v>
      </c>
      <c r="V53" s="2">
        <v>139</v>
      </c>
      <c r="W53" s="2">
        <v>111</v>
      </c>
      <c r="X53" s="2">
        <v>120</v>
      </c>
      <c r="Y53" s="2">
        <v>133</v>
      </c>
      <c r="Z53" s="2">
        <v>139</v>
      </c>
      <c r="AA53" s="2">
        <v>163</v>
      </c>
      <c r="AB53" s="2">
        <v>133</v>
      </c>
      <c r="AC53" s="2">
        <v>210</v>
      </c>
      <c r="AD53" s="2">
        <v>165</v>
      </c>
      <c r="AE53" s="2">
        <v>169</v>
      </c>
      <c r="AF53" s="2">
        <v>194</v>
      </c>
      <c r="AG53" s="2">
        <v>215</v>
      </c>
      <c r="AH53" s="2">
        <v>234</v>
      </c>
      <c r="AI53" s="2">
        <v>176</v>
      </c>
      <c r="AJ53" s="2">
        <v>176</v>
      </c>
      <c r="AK53" s="2">
        <v>249</v>
      </c>
      <c r="AL53" s="2">
        <v>327</v>
      </c>
      <c r="AM53" s="2">
        <v>158</v>
      </c>
      <c r="AN53" s="2">
        <v>1460</v>
      </c>
      <c r="AO53" s="2">
        <v>306</v>
      </c>
      <c r="AP53" s="2">
        <v>142</v>
      </c>
      <c r="AQ53" s="2">
        <v>222</v>
      </c>
      <c r="AR53" s="14"/>
    </row>
    <row r="54" spans="1:44" x14ac:dyDescent="0.25">
      <c r="A54" s="13"/>
      <c r="B54" s="1" t="s">
        <v>26</v>
      </c>
      <c r="C54" s="3"/>
      <c r="L54" s="2">
        <v>0</v>
      </c>
      <c r="M54" s="2">
        <v>170</v>
      </c>
      <c r="N54" s="2">
        <v>364</v>
      </c>
      <c r="O54" s="2">
        <v>582</v>
      </c>
      <c r="P54" s="2">
        <v>769</v>
      </c>
      <c r="Q54" s="2">
        <v>834</v>
      </c>
      <c r="R54" s="2">
        <v>825</v>
      </c>
      <c r="S54" s="2">
        <v>972</v>
      </c>
      <c r="T54" s="2">
        <v>978</v>
      </c>
      <c r="U54" s="2">
        <v>865</v>
      </c>
      <c r="V54" s="2">
        <v>1064</v>
      </c>
      <c r="W54" s="2">
        <v>1181</v>
      </c>
      <c r="X54" s="2">
        <v>1345</v>
      </c>
      <c r="Y54" s="2">
        <v>1268</v>
      </c>
      <c r="Z54" s="2">
        <v>1491</v>
      </c>
      <c r="AA54" s="2">
        <v>1554</v>
      </c>
      <c r="AB54" s="2">
        <v>1629</v>
      </c>
      <c r="AC54" s="2">
        <v>1522</v>
      </c>
      <c r="AD54" s="2">
        <v>1625</v>
      </c>
      <c r="AE54" s="2">
        <v>1650</v>
      </c>
      <c r="AF54" s="2">
        <v>1878</v>
      </c>
      <c r="AG54" s="2">
        <v>2192</v>
      </c>
      <c r="AH54" s="2">
        <v>2352</v>
      </c>
      <c r="AI54" s="2">
        <v>2100</v>
      </c>
      <c r="AJ54" s="2">
        <v>1784</v>
      </c>
      <c r="AK54" s="2">
        <v>1708</v>
      </c>
      <c r="AL54" s="2">
        <v>1767</v>
      </c>
      <c r="AM54" s="2">
        <v>2017</v>
      </c>
      <c r="AN54" s="2">
        <v>711</v>
      </c>
      <c r="AO54" s="2">
        <v>1521</v>
      </c>
      <c r="AP54" s="2">
        <v>1551</v>
      </c>
      <c r="AQ54" s="2">
        <v>1475</v>
      </c>
      <c r="AR54" s="14"/>
    </row>
    <row r="55" spans="1:44" x14ac:dyDescent="0.25">
      <c r="A55" s="13"/>
      <c r="B55" s="1" t="s">
        <v>9</v>
      </c>
      <c r="C55" s="3"/>
      <c r="D55" s="5"/>
      <c r="E55" s="5"/>
      <c r="F55" s="5"/>
      <c r="G55" s="5"/>
      <c r="H55" s="5"/>
      <c r="I55" s="5"/>
      <c r="J55" s="5"/>
      <c r="K55" s="5"/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14"/>
    </row>
    <row r="56" spans="1:44" x14ac:dyDescent="0.25">
      <c r="A56" s="13"/>
      <c r="B56" s="1" t="s">
        <v>10</v>
      </c>
      <c r="C56" s="3"/>
      <c r="D56" s="2">
        <f t="shared" ref="D56:X56" si="37">SUM(D53:D55)</f>
        <v>0</v>
      </c>
      <c r="E56" s="2">
        <f t="shared" si="37"/>
        <v>0</v>
      </c>
      <c r="F56" s="2">
        <f t="shared" si="37"/>
        <v>0</v>
      </c>
      <c r="G56" s="2">
        <f t="shared" si="37"/>
        <v>0</v>
      </c>
      <c r="H56" s="2">
        <f t="shared" si="37"/>
        <v>0</v>
      </c>
      <c r="I56" s="2">
        <f t="shared" si="37"/>
        <v>0</v>
      </c>
      <c r="J56" s="2">
        <f t="shared" si="37"/>
        <v>0</v>
      </c>
      <c r="K56" s="2">
        <f t="shared" si="37"/>
        <v>0</v>
      </c>
      <c r="L56" s="2">
        <f t="shared" si="37"/>
        <v>87</v>
      </c>
      <c r="M56" s="2">
        <f t="shared" si="37"/>
        <v>170</v>
      </c>
      <c r="N56" s="2">
        <f t="shared" si="37"/>
        <v>508</v>
      </c>
      <c r="O56" s="2">
        <f t="shared" si="37"/>
        <v>720</v>
      </c>
      <c r="P56" s="2">
        <f t="shared" si="37"/>
        <v>928</v>
      </c>
      <c r="Q56" s="2">
        <f t="shared" si="37"/>
        <v>897</v>
      </c>
      <c r="R56" s="2">
        <f t="shared" si="37"/>
        <v>897</v>
      </c>
      <c r="S56" s="2">
        <f t="shared" si="37"/>
        <v>1044</v>
      </c>
      <c r="T56" s="2">
        <f t="shared" si="37"/>
        <v>1026</v>
      </c>
      <c r="U56" s="2">
        <f t="shared" si="37"/>
        <v>969</v>
      </c>
      <c r="V56" s="2">
        <f t="shared" si="37"/>
        <v>1203</v>
      </c>
      <c r="W56" s="2">
        <f t="shared" si="37"/>
        <v>1292</v>
      </c>
      <c r="X56" s="2">
        <f t="shared" si="37"/>
        <v>1465</v>
      </c>
      <c r="Y56" s="2">
        <f t="shared" ref="Y56:AC56" si="38">SUM(Y53:Y55)</f>
        <v>1401</v>
      </c>
      <c r="Z56" s="2">
        <f t="shared" si="38"/>
        <v>1630</v>
      </c>
      <c r="AA56" s="2">
        <f t="shared" si="38"/>
        <v>1717</v>
      </c>
      <c r="AB56" s="2">
        <f t="shared" si="38"/>
        <v>1762</v>
      </c>
      <c r="AC56" s="2">
        <f t="shared" si="38"/>
        <v>1732</v>
      </c>
      <c r="AD56" s="2">
        <f>SUM(AD53:AD55)</f>
        <v>1790</v>
      </c>
      <c r="AE56" s="2">
        <f t="shared" ref="AE56:AO56" si="39">SUM(AE53:AE55)</f>
        <v>1819</v>
      </c>
      <c r="AF56" s="2">
        <f t="shared" si="39"/>
        <v>2072</v>
      </c>
      <c r="AG56" s="2">
        <f t="shared" si="39"/>
        <v>2407</v>
      </c>
      <c r="AH56" s="2">
        <f t="shared" si="39"/>
        <v>2586</v>
      </c>
      <c r="AI56" s="2">
        <f t="shared" si="39"/>
        <v>2276</v>
      </c>
      <c r="AJ56" s="2">
        <f t="shared" si="39"/>
        <v>1960</v>
      </c>
      <c r="AK56" s="2">
        <f t="shared" si="39"/>
        <v>1957</v>
      </c>
      <c r="AL56" s="2">
        <f t="shared" si="39"/>
        <v>2094</v>
      </c>
      <c r="AM56" s="2">
        <f t="shared" si="39"/>
        <v>2175</v>
      </c>
      <c r="AN56" s="2">
        <f t="shared" si="39"/>
        <v>2171</v>
      </c>
      <c r="AO56" s="2">
        <f t="shared" si="39"/>
        <v>1827</v>
      </c>
      <c r="AP56" s="2">
        <f t="shared" ref="AP56" si="40">SUM(AP53:AP55)</f>
        <v>1693</v>
      </c>
      <c r="AQ56" s="2">
        <f>SUM(AQ53:AQ55)</f>
        <v>1697</v>
      </c>
      <c r="AR56" s="14"/>
    </row>
    <row r="57" spans="1:44" ht="6.75" customHeight="1" x14ac:dyDescent="0.25">
      <c r="A57" s="13"/>
      <c r="C57" s="3"/>
      <c r="AR57" s="14"/>
    </row>
    <row r="58" spans="1:44" x14ac:dyDescent="0.25">
      <c r="A58" s="13"/>
      <c r="B58" s="3" t="s">
        <v>17</v>
      </c>
      <c r="C58" s="3"/>
      <c r="D58" s="2">
        <v>2265</v>
      </c>
      <c r="E58" s="2">
        <v>2413</v>
      </c>
      <c r="F58" s="2">
        <v>2772</v>
      </c>
      <c r="G58" s="2">
        <v>3115</v>
      </c>
      <c r="H58" s="2">
        <v>3193</v>
      </c>
      <c r="I58" s="2">
        <v>3145</v>
      </c>
      <c r="J58" s="2">
        <v>3207</v>
      </c>
      <c r="K58" s="2">
        <v>3058</v>
      </c>
      <c r="L58" s="2">
        <v>3168</v>
      </c>
      <c r="M58" s="2">
        <v>3000</v>
      </c>
      <c r="N58" s="2">
        <v>2960</v>
      </c>
      <c r="O58" s="2">
        <v>3090</v>
      </c>
      <c r="P58" s="2">
        <v>3136</v>
      </c>
      <c r="Q58" s="2">
        <v>3183</v>
      </c>
      <c r="R58" s="2">
        <v>3483</v>
      </c>
      <c r="S58" s="2">
        <v>3483</v>
      </c>
      <c r="T58" s="2">
        <v>3436</v>
      </c>
      <c r="U58" s="2">
        <v>3334</v>
      </c>
      <c r="V58" s="2">
        <v>3168</v>
      </c>
      <c r="W58" s="2">
        <v>3375</v>
      </c>
      <c r="X58" s="2">
        <v>3341</v>
      </c>
      <c r="Y58" s="2">
        <v>3369</v>
      </c>
      <c r="Z58" s="2">
        <v>3450</v>
      </c>
      <c r="AA58" s="2">
        <v>3548</v>
      </c>
      <c r="AB58" s="2">
        <v>3578</v>
      </c>
      <c r="AC58" s="2">
        <v>3674</v>
      </c>
      <c r="AD58" s="2">
        <v>3575</v>
      </c>
      <c r="AE58" s="2">
        <v>3499</v>
      </c>
      <c r="AF58" s="2">
        <v>3469</v>
      </c>
      <c r="AG58" s="2">
        <v>3506</v>
      </c>
      <c r="AH58" s="2">
        <v>3584</v>
      </c>
      <c r="AI58" s="2">
        <v>3276</v>
      </c>
      <c r="AJ58" s="2">
        <v>3237</v>
      </c>
      <c r="AK58" s="2">
        <v>3331</v>
      </c>
      <c r="AL58" s="2">
        <v>3394</v>
      </c>
      <c r="AM58" s="2">
        <v>3425</v>
      </c>
      <c r="AN58" s="2">
        <v>3281</v>
      </c>
      <c r="AO58" s="2">
        <v>3245</v>
      </c>
      <c r="AP58" s="2">
        <v>3256</v>
      </c>
      <c r="AQ58" s="2">
        <v>3322</v>
      </c>
      <c r="AR58" s="14"/>
    </row>
    <row r="59" spans="1:44" ht="7" customHeight="1" x14ac:dyDescent="0.25">
      <c r="A59" s="30"/>
      <c r="B59" s="10"/>
      <c r="C59" s="10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9"/>
    </row>
    <row r="60" spans="1:44" x14ac:dyDescent="0.25">
      <c r="A60" s="13"/>
      <c r="B60" s="3" t="s">
        <v>23</v>
      </c>
      <c r="C60" s="3"/>
      <c r="AR60" s="14"/>
    </row>
    <row r="61" spans="1:44" x14ac:dyDescent="0.25">
      <c r="A61" s="13"/>
      <c r="B61" s="1" t="s">
        <v>22</v>
      </c>
      <c r="D61" s="2">
        <f>92+93</f>
        <v>185</v>
      </c>
      <c r="E61" s="2">
        <f>79+105</f>
        <v>184</v>
      </c>
      <c r="F61" s="2">
        <f>72+93</f>
        <v>165</v>
      </c>
      <c r="G61" s="2">
        <f>63+165</f>
        <v>228</v>
      </c>
      <c r="H61" s="2">
        <f>90+214</f>
        <v>304</v>
      </c>
      <c r="I61" s="2">
        <f>100+146</f>
        <v>246</v>
      </c>
      <c r="J61" s="2">
        <f>92+267</f>
        <v>359</v>
      </c>
      <c r="K61" s="2">
        <f>52+163</f>
        <v>215</v>
      </c>
      <c r="L61" s="2">
        <f>58+220</f>
        <v>278</v>
      </c>
      <c r="M61" s="2">
        <f>50+177</f>
        <v>227</v>
      </c>
      <c r="N61" s="2">
        <f>23+317</f>
        <v>340</v>
      </c>
      <c r="O61" s="2">
        <f>31+275</f>
        <v>306</v>
      </c>
      <c r="P61" s="2">
        <f>36+220</f>
        <v>256</v>
      </c>
      <c r="Q61" s="2">
        <f>26+241</f>
        <v>267</v>
      </c>
      <c r="R61" s="2">
        <f>19+308</f>
        <v>327</v>
      </c>
      <c r="S61" s="2">
        <f>12+427</f>
        <v>439</v>
      </c>
      <c r="T61" s="2">
        <f>28+285</f>
        <v>313</v>
      </c>
      <c r="U61" s="2">
        <f>24+319</f>
        <v>343</v>
      </c>
      <c r="V61" s="2">
        <f>18+322</f>
        <v>340</v>
      </c>
      <c r="W61" s="2">
        <f>29+201</f>
        <v>230</v>
      </c>
      <c r="X61" s="2">
        <f>27+237</f>
        <v>264</v>
      </c>
      <c r="Y61" s="2">
        <f>29+303</f>
        <v>332</v>
      </c>
      <c r="Z61" s="2">
        <f>27+338</f>
        <v>365</v>
      </c>
      <c r="AA61" s="2">
        <f>26+321</f>
        <v>347</v>
      </c>
      <c r="AB61" s="2">
        <f>36+291</f>
        <v>327</v>
      </c>
      <c r="AC61" s="2">
        <f>26+307.5</f>
        <v>333.5</v>
      </c>
      <c r="AD61" s="2">
        <f>31+270</f>
        <v>301</v>
      </c>
      <c r="AE61" s="2">
        <f>33+207</f>
        <v>240</v>
      </c>
      <c r="AF61" s="2">
        <f>60+260</f>
        <v>320</v>
      </c>
      <c r="AG61" s="2">
        <f>65+315</f>
        <v>380</v>
      </c>
      <c r="AH61" s="2">
        <v>320</v>
      </c>
      <c r="AI61" s="2">
        <v>186</v>
      </c>
      <c r="AJ61" s="2">
        <v>194</v>
      </c>
      <c r="AK61" s="2">
        <v>210</v>
      </c>
      <c r="AL61" s="2">
        <v>156</v>
      </c>
      <c r="AM61" s="2">
        <v>190</v>
      </c>
      <c r="AN61" s="2">
        <v>26</v>
      </c>
      <c r="AO61" s="2">
        <v>81</v>
      </c>
      <c r="AP61" s="2">
        <v>129</v>
      </c>
      <c r="AQ61" s="2">
        <v>114</v>
      </c>
      <c r="AR61" s="14"/>
    </row>
    <row r="62" spans="1:44" x14ac:dyDescent="0.25">
      <c r="A62" s="13"/>
      <c r="B62" s="1" t="s">
        <v>25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14"/>
    </row>
    <row r="63" spans="1:44" x14ac:dyDescent="0.25">
      <c r="A63" s="13"/>
      <c r="B63" s="1" t="s">
        <v>9</v>
      </c>
      <c r="D63" s="5">
        <f>20+42</f>
        <v>62</v>
      </c>
      <c r="E63" s="5">
        <f>24+8</f>
        <v>32</v>
      </c>
      <c r="F63" s="5">
        <f>21+13</f>
        <v>34</v>
      </c>
      <c r="G63" s="5">
        <f>27+13</f>
        <v>40</v>
      </c>
      <c r="H63" s="5">
        <v>15</v>
      </c>
      <c r="I63" s="5">
        <v>21</v>
      </c>
      <c r="J63" s="5">
        <v>12</v>
      </c>
      <c r="K63" s="5">
        <v>10</v>
      </c>
      <c r="L63" s="5">
        <v>20</v>
      </c>
      <c r="M63" s="5">
        <v>26</v>
      </c>
      <c r="N63" s="5">
        <v>33</v>
      </c>
      <c r="O63" s="5">
        <v>23</v>
      </c>
      <c r="P63" s="5">
        <v>19</v>
      </c>
      <c r="Q63" s="5">
        <f>6+13</f>
        <v>19</v>
      </c>
      <c r="R63" s="5">
        <f>6+17</f>
        <v>23</v>
      </c>
      <c r="S63" s="5">
        <f>12+13</f>
        <v>25</v>
      </c>
      <c r="T63" s="5">
        <v>3</v>
      </c>
      <c r="U63" s="5">
        <v>12</v>
      </c>
      <c r="V63" s="5">
        <v>3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18</v>
      </c>
      <c r="AD63" s="5">
        <v>24</v>
      </c>
      <c r="AE63" s="5">
        <v>24</v>
      </c>
      <c r="AF63" s="5">
        <v>9</v>
      </c>
      <c r="AG63" s="5">
        <v>0</v>
      </c>
      <c r="AH63" s="5">
        <v>12</v>
      </c>
      <c r="AI63" s="5">
        <v>33</v>
      </c>
      <c r="AJ63" s="5">
        <v>9</v>
      </c>
      <c r="AK63" s="5">
        <v>9</v>
      </c>
      <c r="AL63" s="5">
        <v>10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14"/>
    </row>
    <row r="64" spans="1:44" x14ac:dyDescent="0.25">
      <c r="A64" s="13"/>
      <c r="B64" s="1" t="s">
        <v>10</v>
      </c>
      <c r="D64" s="2">
        <f t="shared" ref="D64:X64" si="41">SUM(D61:D63)</f>
        <v>247</v>
      </c>
      <c r="E64" s="2">
        <f t="shared" si="41"/>
        <v>216</v>
      </c>
      <c r="F64" s="2">
        <f t="shared" si="41"/>
        <v>199</v>
      </c>
      <c r="G64" s="2">
        <f t="shared" si="41"/>
        <v>268</v>
      </c>
      <c r="H64" s="2">
        <f t="shared" si="41"/>
        <v>319</v>
      </c>
      <c r="I64" s="2">
        <f t="shared" si="41"/>
        <v>267</v>
      </c>
      <c r="J64" s="2">
        <f t="shared" si="41"/>
        <v>371</v>
      </c>
      <c r="K64" s="2">
        <f t="shared" si="41"/>
        <v>225</v>
      </c>
      <c r="L64" s="2">
        <f t="shared" si="41"/>
        <v>298</v>
      </c>
      <c r="M64" s="2">
        <f t="shared" si="41"/>
        <v>253</v>
      </c>
      <c r="N64" s="2">
        <f t="shared" si="41"/>
        <v>373</v>
      </c>
      <c r="O64" s="2">
        <f t="shared" si="41"/>
        <v>329</v>
      </c>
      <c r="P64" s="2">
        <f t="shared" si="41"/>
        <v>275</v>
      </c>
      <c r="Q64" s="2">
        <f t="shared" si="41"/>
        <v>286</v>
      </c>
      <c r="R64" s="2">
        <f t="shared" si="41"/>
        <v>350</v>
      </c>
      <c r="S64" s="2">
        <f t="shared" si="41"/>
        <v>464</v>
      </c>
      <c r="T64" s="2">
        <f t="shared" si="41"/>
        <v>316</v>
      </c>
      <c r="U64" s="2">
        <f t="shared" si="41"/>
        <v>355</v>
      </c>
      <c r="V64" s="2">
        <f t="shared" si="41"/>
        <v>343</v>
      </c>
      <c r="W64" s="2">
        <f t="shared" si="41"/>
        <v>230</v>
      </c>
      <c r="X64" s="2">
        <f t="shared" si="41"/>
        <v>264</v>
      </c>
      <c r="Y64" s="2">
        <f t="shared" ref="Y64:AQ64" si="42">SUM(Y61:Y63)</f>
        <v>332</v>
      </c>
      <c r="Z64" s="2">
        <f t="shared" si="42"/>
        <v>365</v>
      </c>
      <c r="AA64" s="2">
        <f t="shared" si="42"/>
        <v>347</v>
      </c>
      <c r="AB64" s="2">
        <f t="shared" si="42"/>
        <v>327</v>
      </c>
      <c r="AC64" s="2">
        <f t="shared" si="42"/>
        <v>351.5</v>
      </c>
      <c r="AD64" s="2">
        <f>SUM(AD61:AD63)</f>
        <v>325</v>
      </c>
      <c r="AE64" s="2">
        <f t="shared" ref="AE64:AO64" si="43">SUM(AE61:AE63)</f>
        <v>264</v>
      </c>
      <c r="AF64" s="2">
        <f t="shared" si="43"/>
        <v>329</v>
      </c>
      <c r="AG64" s="2">
        <f t="shared" si="43"/>
        <v>380</v>
      </c>
      <c r="AH64" s="2">
        <f t="shared" si="43"/>
        <v>332</v>
      </c>
      <c r="AI64" s="2">
        <f t="shared" si="43"/>
        <v>219</v>
      </c>
      <c r="AJ64" s="2">
        <f t="shared" si="43"/>
        <v>203</v>
      </c>
      <c r="AK64" s="2">
        <f t="shared" si="43"/>
        <v>219</v>
      </c>
      <c r="AL64" s="2">
        <f t="shared" si="43"/>
        <v>166</v>
      </c>
      <c r="AM64" s="2">
        <f t="shared" si="43"/>
        <v>190</v>
      </c>
      <c r="AN64" s="2">
        <f t="shared" si="43"/>
        <v>26</v>
      </c>
      <c r="AO64" s="2">
        <f t="shared" si="43"/>
        <v>81</v>
      </c>
      <c r="AP64" s="2">
        <f t="shared" ref="AP64" si="44">SUM(AP61:AP63)</f>
        <v>129</v>
      </c>
      <c r="AQ64" s="2">
        <f t="shared" si="42"/>
        <v>114</v>
      </c>
      <c r="AR64" s="14"/>
    </row>
    <row r="65" spans="1:46" x14ac:dyDescent="0.25">
      <c r="A65" s="13"/>
      <c r="B65" s="3" t="s">
        <v>13</v>
      </c>
      <c r="C65" s="3"/>
      <c r="AR65" s="14"/>
    </row>
    <row r="66" spans="1:46" x14ac:dyDescent="0.25">
      <c r="A66" s="13"/>
      <c r="B66" s="1" t="s">
        <v>22</v>
      </c>
      <c r="S66" s="2">
        <v>1188</v>
      </c>
      <c r="T66" s="2">
        <v>788</v>
      </c>
      <c r="U66" s="2">
        <v>946</v>
      </c>
      <c r="AR66" s="14"/>
    </row>
    <row r="67" spans="1:46" x14ac:dyDescent="0.25">
      <c r="A67" s="13"/>
      <c r="B67" s="1" t="s">
        <v>9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v>68</v>
      </c>
      <c r="T67" s="5">
        <v>349</v>
      </c>
      <c r="U67" s="5">
        <v>266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14"/>
    </row>
    <row r="68" spans="1:46" x14ac:dyDescent="0.25">
      <c r="A68" s="13"/>
      <c r="B68" s="1" t="s">
        <v>10</v>
      </c>
      <c r="D68" s="2">
        <f t="shared" ref="D68:AQ68" si="45">SUM(D66:D67)</f>
        <v>0</v>
      </c>
      <c r="E68" s="2">
        <f t="shared" si="45"/>
        <v>0</v>
      </c>
      <c r="F68" s="2">
        <f t="shared" si="45"/>
        <v>0</v>
      </c>
      <c r="G68" s="2">
        <f t="shared" si="45"/>
        <v>0</v>
      </c>
      <c r="H68" s="2">
        <f t="shared" si="45"/>
        <v>0</v>
      </c>
      <c r="I68" s="2">
        <f t="shared" si="45"/>
        <v>0</v>
      </c>
      <c r="J68" s="2">
        <f t="shared" si="45"/>
        <v>0</v>
      </c>
      <c r="K68" s="2">
        <f t="shared" si="45"/>
        <v>0</v>
      </c>
      <c r="L68" s="2">
        <f t="shared" si="45"/>
        <v>0</v>
      </c>
      <c r="M68" s="2">
        <f t="shared" si="45"/>
        <v>0</v>
      </c>
      <c r="N68" s="2">
        <f t="shared" si="45"/>
        <v>0</v>
      </c>
      <c r="O68" s="2">
        <f t="shared" si="45"/>
        <v>0</v>
      </c>
      <c r="P68" s="2">
        <f t="shared" si="45"/>
        <v>0</v>
      </c>
      <c r="Q68" s="2">
        <f t="shared" si="45"/>
        <v>0</v>
      </c>
      <c r="R68" s="2">
        <f t="shared" si="45"/>
        <v>0</v>
      </c>
      <c r="S68" s="2">
        <f t="shared" si="45"/>
        <v>1256</v>
      </c>
      <c r="T68" s="2">
        <f t="shared" si="45"/>
        <v>1137</v>
      </c>
      <c r="U68" s="2">
        <f t="shared" si="45"/>
        <v>1212</v>
      </c>
      <c r="V68" s="2">
        <f t="shared" si="45"/>
        <v>0</v>
      </c>
      <c r="W68" s="2">
        <f t="shared" si="45"/>
        <v>0</v>
      </c>
      <c r="X68" s="2">
        <f t="shared" si="45"/>
        <v>0</v>
      </c>
      <c r="Y68" s="2">
        <f t="shared" si="45"/>
        <v>0</v>
      </c>
      <c r="Z68" s="2">
        <f t="shared" si="45"/>
        <v>0</v>
      </c>
      <c r="AA68" s="2">
        <f>SUM(AA66:AA67)</f>
        <v>0</v>
      </c>
      <c r="AB68" s="2">
        <f>SUM(AB66:AB67)</f>
        <v>0</v>
      </c>
      <c r="AC68" s="2">
        <f>SUM(AC66:AC67)</f>
        <v>0</v>
      </c>
      <c r="AD68" s="2">
        <f>SUM(AD66:AD67)</f>
        <v>0</v>
      </c>
      <c r="AE68" s="2">
        <f t="shared" ref="AE68:AO68" si="46">SUM(AE66:AE67)</f>
        <v>0</v>
      </c>
      <c r="AF68" s="2">
        <f t="shared" si="46"/>
        <v>0</v>
      </c>
      <c r="AG68" s="2">
        <f t="shared" si="46"/>
        <v>0</v>
      </c>
      <c r="AH68" s="2">
        <f t="shared" si="46"/>
        <v>0</v>
      </c>
      <c r="AI68" s="2">
        <f t="shared" si="46"/>
        <v>0</v>
      </c>
      <c r="AJ68" s="2">
        <f t="shared" si="46"/>
        <v>0</v>
      </c>
      <c r="AK68" s="2">
        <f t="shared" si="46"/>
        <v>0</v>
      </c>
      <c r="AL68" s="2">
        <f t="shared" si="46"/>
        <v>0</v>
      </c>
      <c r="AM68" s="2">
        <f t="shared" si="46"/>
        <v>0</v>
      </c>
      <c r="AN68" s="2">
        <f t="shared" si="46"/>
        <v>0</v>
      </c>
      <c r="AO68" s="2">
        <f t="shared" si="46"/>
        <v>0</v>
      </c>
      <c r="AP68" s="2">
        <f t="shared" ref="AP68" si="47">SUM(AP66:AP67)</f>
        <v>0</v>
      </c>
      <c r="AQ68" s="2">
        <f t="shared" si="45"/>
        <v>0</v>
      </c>
      <c r="AR68" s="14"/>
    </row>
    <row r="69" spans="1:46" x14ac:dyDescent="0.25">
      <c r="A69" s="13"/>
      <c r="B69" s="3" t="s">
        <v>15</v>
      </c>
      <c r="C69" s="3"/>
      <c r="AR69" s="14"/>
    </row>
    <row r="70" spans="1:46" x14ac:dyDescent="0.25">
      <c r="A70" s="13"/>
      <c r="B70" s="1" t="s">
        <v>22</v>
      </c>
      <c r="U70" s="2">
        <v>2267</v>
      </c>
      <c r="AR70" s="14"/>
    </row>
    <row r="71" spans="1:46" x14ac:dyDescent="0.25">
      <c r="A71" s="13"/>
      <c r="B71" s="1" t="s">
        <v>9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14"/>
    </row>
    <row r="72" spans="1:46" x14ac:dyDescent="0.25">
      <c r="A72" s="13"/>
      <c r="B72" s="1" t="s">
        <v>10</v>
      </c>
      <c r="D72" s="2">
        <f t="shared" ref="D72:AQ72" si="48">SUM(D70:D71)</f>
        <v>0</v>
      </c>
      <c r="E72" s="2">
        <f t="shared" si="48"/>
        <v>0</v>
      </c>
      <c r="F72" s="2">
        <f t="shared" si="48"/>
        <v>0</v>
      </c>
      <c r="G72" s="2">
        <f t="shared" si="48"/>
        <v>0</v>
      </c>
      <c r="H72" s="2">
        <f t="shared" si="48"/>
        <v>0</v>
      </c>
      <c r="I72" s="2">
        <f t="shared" si="48"/>
        <v>0</v>
      </c>
      <c r="J72" s="2">
        <f t="shared" si="48"/>
        <v>0</v>
      </c>
      <c r="K72" s="2">
        <f t="shared" si="48"/>
        <v>0</v>
      </c>
      <c r="L72" s="2">
        <f t="shared" si="48"/>
        <v>0</v>
      </c>
      <c r="M72" s="2">
        <f t="shared" si="48"/>
        <v>0</v>
      </c>
      <c r="N72" s="2">
        <f t="shared" si="48"/>
        <v>0</v>
      </c>
      <c r="O72" s="2">
        <f t="shared" si="48"/>
        <v>0</v>
      </c>
      <c r="P72" s="2">
        <f t="shared" si="48"/>
        <v>0</v>
      </c>
      <c r="Q72" s="2">
        <f t="shared" si="48"/>
        <v>0</v>
      </c>
      <c r="R72" s="2">
        <f t="shared" si="48"/>
        <v>0</v>
      </c>
      <c r="S72" s="2">
        <f t="shared" si="48"/>
        <v>0</v>
      </c>
      <c r="T72" s="2">
        <f t="shared" si="48"/>
        <v>0</v>
      </c>
      <c r="U72" s="2">
        <f t="shared" si="48"/>
        <v>2267</v>
      </c>
      <c r="V72" s="2">
        <f t="shared" si="48"/>
        <v>0</v>
      </c>
      <c r="W72" s="2">
        <f t="shared" si="48"/>
        <v>0</v>
      </c>
      <c r="X72" s="2">
        <f t="shared" si="48"/>
        <v>0</v>
      </c>
      <c r="Y72" s="2">
        <f t="shared" si="48"/>
        <v>0</v>
      </c>
      <c r="Z72" s="2">
        <f t="shared" si="48"/>
        <v>0</v>
      </c>
      <c r="AA72" s="2">
        <f>SUM(AA70:AA71)</f>
        <v>0</v>
      </c>
      <c r="AB72" s="2">
        <f>SUM(AB70:AB71)</f>
        <v>0</v>
      </c>
      <c r="AC72" s="2">
        <f>SUM(AC70:AC71)</f>
        <v>0</v>
      </c>
      <c r="AD72" s="2">
        <f>SUM(AD70:AD71)</f>
        <v>0</v>
      </c>
      <c r="AE72" s="2">
        <f t="shared" ref="AE72:AO72" si="49">SUM(AE70:AE71)</f>
        <v>0</v>
      </c>
      <c r="AF72" s="2">
        <f t="shared" si="49"/>
        <v>0</v>
      </c>
      <c r="AG72" s="2">
        <f t="shared" si="49"/>
        <v>0</v>
      </c>
      <c r="AH72" s="2">
        <f t="shared" si="49"/>
        <v>0</v>
      </c>
      <c r="AI72" s="2">
        <f t="shared" si="49"/>
        <v>0</v>
      </c>
      <c r="AJ72" s="2">
        <f t="shared" si="49"/>
        <v>0</v>
      </c>
      <c r="AK72" s="2">
        <f t="shared" si="49"/>
        <v>0</v>
      </c>
      <c r="AL72" s="2">
        <f t="shared" si="49"/>
        <v>0</v>
      </c>
      <c r="AM72" s="2">
        <f t="shared" si="49"/>
        <v>0</v>
      </c>
      <c r="AN72" s="2">
        <f t="shared" si="49"/>
        <v>0</v>
      </c>
      <c r="AO72" s="2">
        <f t="shared" si="49"/>
        <v>0</v>
      </c>
      <c r="AP72" s="2">
        <f t="shared" ref="AP72" si="50">SUM(AP70:AP71)</f>
        <v>0</v>
      </c>
      <c r="AQ72" s="2">
        <f t="shared" si="48"/>
        <v>0</v>
      </c>
      <c r="AR72" s="14"/>
    </row>
    <row r="73" spans="1:46" s="3" customFormat="1" ht="12" thickBot="1" x14ac:dyDescent="0.3">
      <c r="A73" s="17"/>
      <c r="B73" s="3" t="s">
        <v>3</v>
      </c>
      <c r="C73" s="26" t="e">
        <f>C11+C16+C21+C31+C36+C52+#REF!+C41+C58+C46+C64+C68+C71</f>
        <v>#REF!</v>
      </c>
      <c r="D73" s="4">
        <f t="shared" ref="D73:AQ73" si="51">D11+D51+D16+D21+D26+D31+D36+D56+D41+D58+D46+D64+D68+D72</f>
        <v>106298</v>
      </c>
      <c r="E73" s="4">
        <f t="shared" si="51"/>
        <v>103714</v>
      </c>
      <c r="F73" s="4">
        <f t="shared" si="51"/>
        <v>106202</v>
      </c>
      <c r="G73" s="4">
        <f t="shared" si="51"/>
        <v>108736</v>
      </c>
      <c r="H73" s="4">
        <f t="shared" si="51"/>
        <v>112206</v>
      </c>
      <c r="I73" s="4">
        <f t="shared" si="51"/>
        <v>116927</v>
      </c>
      <c r="J73" s="4">
        <f t="shared" si="51"/>
        <v>118996</v>
      </c>
      <c r="K73" s="4">
        <f t="shared" si="51"/>
        <v>116221</v>
      </c>
      <c r="L73" s="4">
        <f t="shared" si="51"/>
        <v>104909</v>
      </c>
      <c r="M73" s="4">
        <f t="shared" si="51"/>
        <v>105453</v>
      </c>
      <c r="N73" s="4">
        <f t="shared" si="51"/>
        <v>108932</v>
      </c>
      <c r="O73" s="4">
        <f t="shared" si="51"/>
        <v>109179</v>
      </c>
      <c r="P73" s="4">
        <f t="shared" si="51"/>
        <v>109680</v>
      </c>
      <c r="Q73" s="4">
        <f t="shared" si="51"/>
        <v>106392</v>
      </c>
      <c r="R73" s="4">
        <f t="shared" si="51"/>
        <v>110463</v>
      </c>
      <c r="S73" s="4">
        <f t="shared" si="51"/>
        <v>111782</v>
      </c>
      <c r="T73" s="4">
        <f t="shared" si="51"/>
        <v>111653</v>
      </c>
      <c r="U73" s="4">
        <f t="shared" si="51"/>
        <v>115056</v>
      </c>
      <c r="V73" s="4">
        <f t="shared" si="51"/>
        <v>115297</v>
      </c>
      <c r="W73" s="4">
        <f t="shared" si="51"/>
        <v>114483</v>
      </c>
      <c r="X73" s="4">
        <f t="shared" si="51"/>
        <v>112836</v>
      </c>
      <c r="Y73" s="4">
        <f t="shared" si="51"/>
        <v>117005</v>
      </c>
      <c r="Z73" s="4">
        <f t="shared" si="51"/>
        <v>116791</v>
      </c>
      <c r="AA73" s="4">
        <f t="shared" si="51"/>
        <v>117773</v>
      </c>
      <c r="AB73" s="4">
        <f t="shared" si="51"/>
        <v>114832</v>
      </c>
      <c r="AC73" s="4">
        <f t="shared" si="51"/>
        <v>119077.5</v>
      </c>
      <c r="AD73" s="4">
        <f t="shared" si="51"/>
        <v>121281</v>
      </c>
      <c r="AE73" s="4">
        <f t="shared" si="51"/>
        <v>120337</v>
      </c>
      <c r="AF73" s="4">
        <f t="shared" si="51"/>
        <v>119047</v>
      </c>
      <c r="AG73" s="4">
        <f t="shared" si="51"/>
        <v>120113</v>
      </c>
      <c r="AH73" s="4">
        <f t="shared" si="51"/>
        <v>120922</v>
      </c>
      <c r="AI73" s="4">
        <f t="shared" si="51"/>
        <v>115555</v>
      </c>
      <c r="AJ73" s="4">
        <f t="shared" ref="AJ73:AN73" si="52">AJ11+AJ51+AJ16+AJ21+AJ26+AJ31+AJ36+AJ56+AJ41+AJ58+AJ46+AJ64+AJ68+AJ72</f>
        <v>108619</v>
      </c>
      <c r="AK73" s="4">
        <f t="shared" si="52"/>
        <v>108606</v>
      </c>
      <c r="AL73" s="4">
        <f t="shared" si="52"/>
        <v>106750</v>
      </c>
      <c r="AM73" s="4">
        <f t="shared" si="52"/>
        <v>101574</v>
      </c>
      <c r="AN73" s="4">
        <f t="shared" si="52"/>
        <v>97594</v>
      </c>
      <c r="AO73" s="4">
        <f>AO11+AO51+AO16+AO21+AO26+AO31+AO36+AO56+AO41+AO58+AO46+AO64+AO68+AO72</f>
        <v>88013</v>
      </c>
      <c r="AP73" s="4">
        <f>AP11+AP51+AP16+AP21+AP26+AP31+AP36+AP56+AP41+AP58+AP46+AP64+AP68+AP72</f>
        <v>83917</v>
      </c>
      <c r="AQ73" s="4">
        <f t="shared" si="51"/>
        <v>81609</v>
      </c>
      <c r="AR73" s="18"/>
    </row>
    <row r="74" spans="1:46" ht="7" customHeight="1" thickTop="1" x14ac:dyDescent="0.25">
      <c r="A74" s="17"/>
      <c r="B74" s="3"/>
      <c r="C74" s="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18"/>
    </row>
    <row r="75" spans="1:46" x14ac:dyDescent="0.25">
      <c r="A75" s="13"/>
      <c r="B75" s="25" t="s">
        <v>4</v>
      </c>
      <c r="C75" s="3"/>
      <c r="AR75" s="14"/>
    </row>
    <row r="76" spans="1:46" x14ac:dyDescent="0.25">
      <c r="A76" s="13"/>
      <c r="B76" s="3" t="s">
        <v>5</v>
      </c>
      <c r="C76" s="3"/>
      <c r="AR76" s="14"/>
    </row>
    <row r="77" spans="1:46" x14ac:dyDescent="0.25">
      <c r="A77" s="13"/>
      <c r="B77" s="1" t="s">
        <v>22</v>
      </c>
      <c r="D77" s="2">
        <f t="shared" ref="D77:AQ77" si="53">D8+D48+D13+D18+D23+D28+D33+D53+D38+D43+D61+D66+D70</f>
        <v>80975</v>
      </c>
      <c r="E77" s="2">
        <f t="shared" si="53"/>
        <v>77936</v>
      </c>
      <c r="F77" s="2">
        <f t="shared" si="53"/>
        <v>78564</v>
      </c>
      <c r="G77" s="2">
        <f t="shared" si="53"/>
        <v>78539</v>
      </c>
      <c r="H77" s="2">
        <f t="shared" si="53"/>
        <v>80859</v>
      </c>
      <c r="I77" s="2">
        <f t="shared" si="53"/>
        <v>83691</v>
      </c>
      <c r="J77" s="2">
        <f t="shared" si="53"/>
        <v>84034</v>
      </c>
      <c r="K77" s="2">
        <f t="shared" si="53"/>
        <v>81352</v>
      </c>
      <c r="L77" s="2">
        <f t="shared" si="53"/>
        <v>72426</v>
      </c>
      <c r="M77" s="2">
        <f t="shared" si="53"/>
        <v>71789</v>
      </c>
      <c r="N77" s="2">
        <f t="shared" si="53"/>
        <v>76369</v>
      </c>
      <c r="O77" s="2">
        <f t="shared" si="53"/>
        <v>75406</v>
      </c>
      <c r="P77" s="2">
        <f t="shared" si="53"/>
        <v>76058</v>
      </c>
      <c r="Q77" s="2">
        <f t="shared" si="53"/>
        <v>72552</v>
      </c>
      <c r="R77" s="2">
        <f t="shared" si="53"/>
        <v>74708</v>
      </c>
      <c r="S77" s="2">
        <f t="shared" si="53"/>
        <v>76046</v>
      </c>
      <c r="T77" s="2">
        <f t="shared" si="53"/>
        <v>75501</v>
      </c>
      <c r="U77" s="2">
        <f t="shared" si="53"/>
        <v>79202</v>
      </c>
      <c r="V77" s="2">
        <f t="shared" si="53"/>
        <v>78835</v>
      </c>
      <c r="W77" s="2">
        <f t="shared" si="53"/>
        <v>78729</v>
      </c>
      <c r="X77" s="2">
        <f t="shared" si="53"/>
        <v>77390</v>
      </c>
      <c r="Y77" s="2">
        <f t="shared" si="53"/>
        <v>80411</v>
      </c>
      <c r="Z77" s="2">
        <f t="shared" si="53"/>
        <v>79719</v>
      </c>
      <c r="AA77" s="2">
        <f t="shared" si="53"/>
        <v>79865</v>
      </c>
      <c r="AB77" s="2">
        <f t="shared" si="53"/>
        <v>78981</v>
      </c>
      <c r="AC77" s="2">
        <f t="shared" si="53"/>
        <v>81916.5</v>
      </c>
      <c r="AD77" s="2">
        <f t="shared" si="53"/>
        <v>84310</v>
      </c>
      <c r="AE77" s="2">
        <f t="shared" si="53"/>
        <v>84735</v>
      </c>
      <c r="AF77" s="2">
        <f t="shared" si="53"/>
        <v>84450</v>
      </c>
      <c r="AG77" s="2">
        <f t="shared" si="53"/>
        <v>85738</v>
      </c>
      <c r="AH77" s="2">
        <f t="shared" si="53"/>
        <v>86329</v>
      </c>
      <c r="AI77" s="2">
        <f t="shared" si="53"/>
        <v>81426</v>
      </c>
      <c r="AJ77" s="2">
        <f t="shared" ref="AJ77:AM77" si="54">AJ8+AJ48+AJ13+AJ18+AJ23+AJ28+AJ33+AJ53+AJ38+AJ43+AJ61+AJ66+AJ70</f>
        <v>77840</v>
      </c>
      <c r="AK77" s="2">
        <f t="shared" si="54"/>
        <v>77605</v>
      </c>
      <c r="AL77" s="2">
        <f t="shared" si="54"/>
        <v>75891</v>
      </c>
      <c r="AM77" s="2">
        <f t="shared" si="54"/>
        <v>70429</v>
      </c>
      <c r="AN77" s="2">
        <f>AN8+AN48+AN13+AN18+AN23+AN28+AN33+AN53+AN38+AN43+AN61+AN66+AN70</f>
        <v>74635</v>
      </c>
      <c r="AO77" s="2">
        <f>AO8+AO48+AO13+AO18+AO23+AO28+AO33+AO53+AO38+AO43+AO61+AO66+AO70</f>
        <v>63527</v>
      </c>
      <c r="AP77" s="2">
        <f>AP8+AP48+AP13+AP18+AP23+AP28+AP33+AP53+AP38+AP43+AP61+AP66+AP70</f>
        <v>59152</v>
      </c>
      <c r="AQ77" s="2">
        <f t="shared" si="53"/>
        <v>57822</v>
      </c>
      <c r="AR77" s="14"/>
    </row>
    <row r="78" spans="1:46" x14ac:dyDescent="0.25">
      <c r="A78" s="13"/>
      <c r="B78" s="1" t="s">
        <v>25</v>
      </c>
      <c r="D78" s="2">
        <f t="shared" ref="D78:AQ78" si="55">D9+D49+D14+D19+D24+D29+D34+D39+D44+D54+D62</f>
        <v>16694</v>
      </c>
      <c r="E78" s="2">
        <f t="shared" si="55"/>
        <v>16659</v>
      </c>
      <c r="F78" s="2">
        <f t="shared" si="55"/>
        <v>17537</v>
      </c>
      <c r="G78" s="2">
        <f t="shared" si="55"/>
        <v>19083</v>
      </c>
      <c r="H78" s="2">
        <f t="shared" si="55"/>
        <v>20038</v>
      </c>
      <c r="I78" s="2">
        <f t="shared" si="55"/>
        <v>21523</v>
      </c>
      <c r="J78" s="2">
        <f t="shared" si="55"/>
        <v>22698</v>
      </c>
      <c r="K78" s="2">
        <f t="shared" si="55"/>
        <v>22356</v>
      </c>
      <c r="L78" s="2">
        <f t="shared" si="55"/>
        <v>20095</v>
      </c>
      <c r="M78" s="2">
        <f t="shared" si="55"/>
        <v>20964</v>
      </c>
      <c r="N78" s="2">
        <f t="shared" si="55"/>
        <v>19358</v>
      </c>
      <c r="O78" s="2">
        <f t="shared" si="55"/>
        <v>19800</v>
      </c>
      <c r="P78" s="2">
        <f t="shared" si="55"/>
        <v>20078</v>
      </c>
      <c r="Q78" s="2">
        <f t="shared" si="55"/>
        <v>20668</v>
      </c>
      <c r="R78" s="2">
        <f t="shared" si="55"/>
        <v>22095</v>
      </c>
      <c r="S78" s="2">
        <f t="shared" si="55"/>
        <v>22119</v>
      </c>
      <c r="T78" s="2">
        <f t="shared" si="55"/>
        <v>21932</v>
      </c>
      <c r="U78" s="2">
        <f t="shared" si="55"/>
        <v>21052</v>
      </c>
      <c r="V78" s="2">
        <f t="shared" si="55"/>
        <v>21403</v>
      </c>
      <c r="W78" s="2">
        <f t="shared" si="55"/>
        <v>20030</v>
      </c>
      <c r="X78" s="2">
        <f t="shared" si="55"/>
        <v>19791</v>
      </c>
      <c r="Y78" s="2">
        <f t="shared" si="55"/>
        <v>19802</v>
      </c>
      <c r="Z78" s="2">
        <f t="shared" si="55"/>
        <v>19498</v>
      </c>
      <c r="AA78" s="2">
        <f t="shared" si="55"/>
        <v>20203</v>
      </c>
      <c r="AB78" s="2">
        <f t="shared" si="55"/>
        <v>18253</v>
      </c>
      <c r="AC78" s="2">
        <f t="shared" si="55"/>
        <v>18167</v>
      </c>
      <c r="AD78" s="2">
        <f t="shared" si="55"/>
        <v>17678</v>
      </c>
      <c r="AE78" s="2">
        <f t="shared" si="55"/>
        <v>16710</v>
      </c>
      <c r="AF78" s="2">
        <f t="shared" si="55"/>
        <v>16937</v>
      </c>
      <c r="AG78" s="2">
        <f t="shared" si="55"/>
        <v>16880</v>
      </c>
      <c r="AH78" s="2">
        <f t="shared" si="55"/>
        <v>16781</v>
      </c>
      <c r="AI78" s="2">
        <f t="shared" si="55"/>
        <v>15457</v>
      </c>
      <c r="AJ78" s="2">
        <f t="shared" ref="AJ78:AN78" si="56">AJ9+AJ49+AJ14+AJ19+AJ24+AJ29+AJ34+AJ39+AJ44+AJ54+AJ62</f>
        <v>12380</v>
      </c>
      <c r="AK78" s="2">
        <f t="shared" si="56"/>
        <v>11459</v>
      </c>
      <c r="AL78" s="2">
        <f t="shared" si="56"/>
        <v>10904</v>
      </c>
      <c r="AM78" s="2">
        <f t="shared" si="56"/>
        <v>11061</v>
      </c>
      <c r="AN78" s="2">
        <f t="shared" si="56"/>
        <v>3910</v>
      </c>
      <c r="AO78" s="2">
        <f t="shared" ref="AO78:AP78" si="57">AO9+AO49+AO14+AO19+AO24+AO29+AO34+AO39+AO44+AO54+AO62</f>
        <v>5864</v>
      </c>
      <c r="AP78" s="2">
        <f t="shared" si="57"/>
        <v>6163</v>
      </c>
      <c r="AQ78" s="2">
        <f t="shared" si="55"/>
        <v>5691</v>
      </c>
      <c r="AR78" s="14"/>
    </row>
    <row r="79" spans="1:46" x14ac:dyDescent="0.25">
      <c r="A79" s="13"/>
      <c r="B79" s="1" t="s">
        <v>9</v>
      </c>
      <c r="D79" s="5">
        <f t="shared" ref="D79:AI79" si="58">D10+D50+D15+D20+D25+D30+D35+D40+D58+D45+D55+D63+D67+D71</f>
        <v>8629</v>
      </c>
      <c r="E79" s="5">
        <f t="shared" si="58"/>
        <v>9119</v>
      </c>
      <c r="F79" s="5">
        <f t="shared" si="58"/>
        <v>10101</v>
      </c>
      <c r="G79" s="5">
        <f t="shared" si="58"/>
        <v>11114</v>
      </c>
      <c r="H79" s="5">
        <f t="shared" si="58"/>
        <v>11309</v>
      </c>
      <c r="I79" s="5">
        <f t="shared" si="58"/>
        <v>11713</v>
      </c>
      <c r="J79" s="5">
        <f t="shared" si="58"/>
        <v>12264</v>
      </c>
      <c r="K79" s="5">
        <f t="shared" si="58"/>
        <v>12513</v>
      </c>
      <c r="L79" s="5">
        <f t="shared" si="58"/>
        <v>12388</v>
      </c>
      <c r="M79" s="5">
        <f t="shared" si="58"/>
        <v>12700</v>
      </c>
      <c r="N79" s="5">
        <f t="shared" si="58"/>
        <v>13205</v>
      </c>
      <c r="O79" s="5">
        <f t="shared" si="58"/>
        <v>13973</v>
      </c>
      <c r="P79" s="5">
        <f t="shared" si="58"/>
        <v>13544</v>
      </c>
      <c r="Q79" s="5">
        <f t="shared" si="58"/>
        <v>13172</v>
      </c>
      <c r="R79" s="5">
        <f t="shared" si="58"/>
        <v>13660</v>
      </c>
      <c r="S79" s="5">
        <f t="shared" si="58"/>
        <v>13617</v>
      </c>
      <c r="T79" s="5">
        <f t="shared" si="58"/>
        <v>14220</v>
      </c>
      <c r="U79" s="5">
        <f t="shared" si="58"/>
        <v>14802</v>
      </c>
      <c r="V79" s="5">
        <f t="shared" si="58"/>
        <v>15059</v>
      </c>
      <c r="W79" s="5">
        <f t="shared" si="58"/>
        <v>15724</v>
      </c>
      <c r="X79" s="5">
        <f t="shared" si="58"/>
        <v>15655</v>
      </c>
      <c r="Y79" s="5">
        <f t="shared" si="58"/>
        <v>16792</v>
      </c>
      <c r="Z79" s="5">
        <f t="shared" si="58"/>
        <v>17574</v>
      </c>
      <c r="AA79" s="5">
        <f t="shared" si="58"/>
        <v>17705</v>
      </c>
      <c r="AB79" s="5">
        <f t="shared" si="58"/>
        <v>17598</v>
      </c>
      <c r="AC79" s="5">
        <f t="shared" si="58"/>
        <v>18994</v>
      </c>
      <c r="AD79" s="5">
        <f t="shared" si="58"/>
        <v>19293</v>
      </c>
      <c r="AE79" s="5">
        <f t="shared" si="58"/>
        <v>18892</v>
      </c>
      <c r="AF79" s="5">
        <f t="shared" si="58"/>
        <v>17660</v>
      </c>
      <c r="AG79" s="5">
        <f t="shared" si="58"/>
        <v>17495</v>
      </c>
      <c r="AH79" s="5">
        <f t="shared" si="58"/>
        <v>17812</v>
      </c>
      <c r="AI79" s="5">
        <f t="shared" si="58"/>
        <v>18672</v>
      </c>
      <c r="AJ79" s="5">
        <f t="shared" ref="AJ79:AQ79" si="59">AJ10+AJ50+AJ15+AJ20+AJ25+AJ30+AJ35+AJ40+AJ58+AJ45+AJ55+AJ63+AJ67+AJ71</f>
        <v>18399</v>
      </c>
      <c r="AK79" s="5">
        <f t="shared" si="59"/>
        <v>19542</v>
      </c>
      <c r="AL79" s="5">
        <f t="shared" ref="AL79:AN79" si="60">AL10+AL50+AL15+AL20+AL25+AL30+AL35+AL40+AL58+AL45+AL55+AL63+AL67+AL71</f>
        <v>19955</v>
      </c>
      <c r="AM79" s="5">
        <f t="shared" si="60"/>
        <v>20084</v>
      </c>
      <c r="AN79" s="5">
        <f t="shared" si="60"/>
        <v>19049</v>
      </c>
      <c r="AO79" s="5">
        <f t="shared" ref="AO79:AP79" si="61">AO10+AO50+AO15+AO20+AO25+AO30+AO35+AO40+AO58+AO45+AO55+AO63+AO67+AO71</f>
        <v>18622</v>
      </c>
      <c r="AP79" s="5">
        <f t="shared" si="61"/>
        <v>18602</v>
      </c>
      <c r="AQ79" s="5">
        <f t="shared" si="59"/>
        <v>18096</v>
      </c>
      <c r="AR79" s="14"/>
    </row>
    <row r="80" spans="1:46" s="3" customFormat="1" x14ac:dyDescent="0.25">
      <c r="A80" s="17"/>
      <c r="B80" s="3" t="s">
        <v>10</v>
      </c>
      <c r="D80" s="26">
        <f t="shared" ref="D80:AQ80" si="62">SUM(D77:D79)</f>
        <v>106298</v>
      </c>
      <c r="E80" s="26">
        <f t="shared" si="62"/>
        <v>103714</v>
      </c>
      <c r="F80" s="26">
        <f t="shared" si="62"/>
        <v>106202</v>
      </c>
      <c r="G80" s="26">
        <f t="shared" si="62"/>
        <v>108736</v>
      </c>
      <c r="H80" s="26">
        <f t="shared" si="62"/>
        <v>112206</v>
      </c>
      <c r="I80" s="26">
        <f t="shared" si="62"/>
        <v>116927</v>
      </c>
      <c r="J80" s="26">
        <f t="shared" si="62"/>
        <v>118996</v>
      </c>
      <c r="K80" s="26">
        <f t="shared" si="62"/>
        <v>116221</v>
      </c>
      <c r="L80" s="26">
        <f t="shared" si="62"/>
        <v>104909</v>
      </c>
      <c r="M80" s="26">
        <f t="shared" si="62"/>
        <v>105453</v>
      </c>
      <c r="N80" s="26">
        <f t="shared" si="62"/>
        <v>108932</v>
      </c>
      <c r="O80" s="26">
        <f t="shared" si="62"/>
        <v>109179</v>
      </c>
      <c r="P80" s="26">
        <f t="shared" si="62"/>
        <v>109680</v>
      </c>
      <c r="Q80" s="26">
        <f t="shared" si="62"/>
        <v>106392</v>
      </c>
      <c r="R80" s="26">
        <f t="shared" si="62"/>
        <v>110463</v>
      </c>
      <c r="S80" s="26">
        <f t="shared" si="62"/>
        <v>111782</v>
      </c>
      <c r="T80" s="26">
        <f t="shared" si="62"/>
        <v>111653</v>
      </c>
      <c r="U80" s="26">
        <f t="shared" si="62"/>
        <v>115056</v>
      </c>
      <c r="V80" s="26">
        <f t="shared" si="62"/>
        <v>115297</v>
      </c>
      <c r="W80" s="26">
        <f t="shared" si="62"/>
        <v>114483</v>
      </c>
      <c r="X80" s="26">
        <f t="shared" si="62"/>
        <v>112836</v>
      </c>
      <c r="Y80" s="26">
        <f t="shared" si="62"/>
        <v>117005</v>
      </c>
      <c r="Z80" s="26">
        <f t="shared" si="62"/>
        <v>116791</v>
      </c>
      <c r="AA80" s="26">
        <f>SUM(AA77:AA79)</f>
        <v>117773</v>
      </c>
      <c r="AB80" s="26">
        <f>SUM(AB77:AB79)</f>
        <v>114832</v>
      </c>
      <c r="AC80" s="26">
        <f>SUM(AC77:AC79)</f>
        <v>119077.5</v>
      </c>
      <c r="AD80" s="26">
        <f>SUM(AD77:AD79)</f>
        <v>121281</v>
      </c>
      <c r="AE80" s="26">
        <f t="shared" ref="AE80" si="63">SUM(AE77:AE79)</f>
        <v>120337</v>
      </c>
      <c r="AF80" s="26">
        <f t="shared" ref="AF80" si="64">SUM(AF77:AF79)</f>
        <v>119047</v>
      </c>
      <c r="AG80" s="26">
        <f t="shared" ref="AG80" si="65">SUM(AG77:AG79)</f>
        <v>120113</v>
      </c>
      <c r="AH80" s="26">
        <f t="shared" ref="AH80" si="66">SUM(AH77:AH79)</f>
        <v>120922</v>
      </c>
      <c r="AI80" s="26">
        <f t="shared" ref="AI80" si="67">SUM(AI77:AI79)</f>
        <v>115555</v>
      </c>
      <c r="AJ80" s="26">
        <f t="shared" ref="AJ80" si="68">SUM(AJ77:AJ79)</f>
        <v>108619</v>
      </c>
      <c r="AK80" s="26">
        <f t="shared" ref="AK80" si="69">SUM(AK77:AK79)</f>
        <v>108606</v>
      </c>
      <c r="AL80" s="26">
        <f t="shared" ref="AL80" si="70">SUM(AL77:AL79)</f>
        <v>106750</v>
      </c>
      <c r="AM80" s="26">
        <f t="shared" ref="AM80" si="71">SUM(AM77:AM79)</f>
        <v>101574</v>
      </c>
      <c r="AN80" s="26">
        <f t="shared" ref="AN80:AO80" si="72">SUM(AN77:AN79)</f>
        <v>97594</v>
      </c>
      <c r="AO80" s="26">
        <f t="shared" si="72"/>
        <v>88013</v>
      </c>
      <c r="AP80" s="26">
        <f t="shared" ref="AP80" si="73">SUM(AP77:AP79)</f>
        <v>83917</v>
      </c>
      <c r="AQ80" s="26">
        <f t="shared" si="62"/>
        <v>81609</v>
      </c>
      <c r="AR80" s="18"/>
      <c r="AT80" s="26"/>
    </row>
    <row r="81" spans="1:45" x14ac:dyDescent="0.25">
      <c r="A81" s="13"/>
      <c r="B81" s="3" t="s">
        <v>6</v>
      </c>
      <c r="C81" s="3"/>
      <c r="AR81" s="14"/>
    </row>
    <row r="82" spans="1:45" x14ac:dyDescent="0.25">
      <c r="A82" s="13"/>
      <c r="B82" s="1" t="s">
        <v>22</v>
      </c>
      <c r="G82" s="2">
        <v>7175</v>
      </c>
      <c r="H82" s="2">
        <v>8212</v>
      </c>
      <c r="I82" s="2">
        <v>9115</v>
      </c>
      <c r="J82" s="2">
        <v>11178</v>
      </c>
      <c r="K82" s="2">
        <v>13452</v>
      </c>
      <c r="L82" s="2">
        <v>15502</v>
      </c>
      <c r="M82" s="2">
        <v>17510</v>
      </c>
      <c r="N82" s="2">
        <v>18405</v>
      </c>
      <c r="O82" s="2">
        <v>20024</v>
      </c>
      <c r="P82" s="2">
        <v>20632</v>
      </c>
      <c r="Q82" s="2">
        <v>20732</v>
      </c>
      <c r="R82" s="2">
        <v>21160</v>
      </c>
      <c r="S82" s="2">
        <v>19829</v>
      </c>
      <c r="T82" s="2">
        <v>20046</v>
      </c>
      <c r="U82" s="2">
        <v>16103</v>
      </c>
      <c r="V82" s="2">
        <v>19020</v>
      </c>
      <c r="W82" s="2">
        <v>18940</v>
      </c>
      <c r="X82" s="2">
        <v>20729</v>
      </c>
      <c r="Y82" s="2">
        <v>20295</v>
      </c>
      <c r="Z82" s="2">
        <v>20749</v>
      </c>
      <c r="AA82" s="2">
        <v>20817</v>
      </c>
      <c r="AB82" s="2">
        <v>22206</v>
      </c>
      <c r="AC82" s="2">
        <v>24386</v>
      </c>
      <c r="AD82" s="2">
        <v>24823</v>
      </c>
      <c r="AE82" s="2">
        <v>24644</v>
      </c>
      <c r="AF82" s="2">
        <v>25670</v>
      </c>
      <c r="AG82" s="2">
        <v>24747</v>
      </c>
      <c r="AH82" s="2">
        <v>25870</v>
      </c>
      <c r="AI82" s="2">
        <v>27161</v>
      </c>
      <c r="AJ82" s="2">
        <v>31840</v>
      </c>
      <c r="AK82" s="2">
        <v>32510</v>
      </c>
      <c r="AL82" s="2">
        <v>32097</v>
      </c>
      <c r="AM82" s="2">
        <f>18+32826</f>
        <v>32844</v>
      </c>
      <c r="AN82" s="2">
        <v>23109</v>
      </c>
      <c r="AO82" s="2">
        <v>35413</v>
      </c>
      <c r="AP82" s="2">
        <v>36447</v>
      </c>
      <c r="AQ82" s="2">
        <v>37196</v>
      </c>
      <c r="AR82" s="14"/>
    </row>
    <row r="83" spans="1:45" x14ac:dyDescent="0.25">
      <c r="A83" s="13"/>
      <c r="B83" s="1" t="s">
        <v>25</v>
      </c>
      <c r="AB83" s="2">
        <v>185</v>
      </c>
      <c r="AC83" s="2">
        <v>457</v>
      </c>
      <c r="AD83" s="2">
        <v>323</v>
      </c>
      <c r="AE83" s="2">
        <v>427</v>
      </c>
      <c r="AF83" s="2">
        <v>488</v>
      </c>
      <c r="AG83" s="2">
        <v>670</v>
      </c>
      <c r="AH83" s="2">
        <v>740</v>
      </c>
      <c r="AI83" s="2">
        <v>748</v>
      </c>
      <c r="AJ83" s="2">
        <v>737</v>
      </c>
      <c r="AK83" s="2">
        <v>688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14"/>
    </row>
    <row r="84" spans="1:45" x14ac:dyDescent="0.25">
      <c r="A84" s="13"/>
      <c r="B84" s="1" t="s">
        <v>9</v>
      </c>
      <c r="D84" s="5"/>
      <c r="E84" s="5"/>
      <c r="F84" s="5"/>
      <c r="G84" s="5">
        <v>408</v>
      </c>
      <c r="H84" s="5">
        <v>336</v>
      </c>
      <c r="I84" s="5">
        <v>321</v>
      </c>
      <c r="J84" s="5">
        <v>519</v>
      </c>
      <c r="K84" s="5">
        <v>651</v>
      </c>
      <c r="L84" s="5">
        <v>711</v>
      </c>
      <c r="M84" s="5">
        <v>735</v>
      </c>
      <c r="N84" s="5">
        <v>783</v>
      </c>
      <c r="O84" s="5">
        <v>816</v>
      </c>
      <c r="P84" s="5">
        <v>890</v>
      </c>
      <c r="Q84" s="5">
        <v>741</v>
      </c>
      <c r="R84" s="5">
        <v>603</v>
      </c>
      <c r="S84" s="5">
        <v>683</v>
      </c>
      <c r="T84" s="5">
        <v>591</v>
      </c>
      <c r="U84" s="5">
        <v>501</v>
      </c>
      <c r="V84" s="5">
        <v>843</v>
      </c>
      <c r="W84" s="5">
        <v>2055</v>
      </c>
      <c r="X84" s="5">
        <v>984</v>
      </c>
      <c r="Y84" s="5">
        <v>1162</v>
      </c>
      <c r="Z84" s="5">
        <v>1083</v>
      </c>
      <c r="AA84" s="5">
        <v>1215</v>
      </c>
      <c r="AB84" s="5">
        <v>2568</v>
      </c>
      <c r="AC84" s="5">
        <v>2551</v>
      </c>
      <c r="AD84" s="5">
        <v>2796</v>
      </c>
      <c r="AE84" s="5">
        <v>3127</v>
      </c>
      <c r="AF84" s="5">
        <v>2814</v>
      </c>
      <c r="AG84" s="5">
        <v>2437</v>
      </c>
      <c r="AH84" s="5">
        <v>2062</v>
      </c>
      <c r="AI84" s="5">
        <v>1536</v>
      </c>
      <c r="AJ84" s="5">
        <v>1932</v>
      </c>
      <c r="AK84" s="5">
        <v>33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14"/>
    </row>
    <row r="85" spans="1:45" s="3" customFormat="1" x14ac:dyDescent="0.25">
      <c r="A85" s="17"/>
      <c r="B85" s="3" t="s">
        <v>10</v>
      </c>
      <c r="D85" s="26">
        <f t="shared" ref="D85:AQ85" si="74">SUM(D82:D84)</f>
        <v>0</v>
      </c>
      <c r="E85" s="26">
        <f t="shared" si="74"/>
        <v>0</v>
      </c>
      <c r="F85" s="26">
        <f t="shared" si="74"/>
        <v>0</v>
      </c>
      <c r="G85" s="26">
        <f t="shared" si="74"/>
        <v>7583</v>
      </c>
      <c r="H85" s="26">
        <f t="shared" si="74"/>
        <v>8548</v>
      </c>
      <c r="I85" s="26">
        <f t="shared" si="74"/>
        <v>9436</v>
      </c>
      <c r="J85" s="26">
        <f t="shared" si="74"/>
        <v>11697</v>
      </c>
      <c r="K85" s="26">
        <f t="shared" si="74"/>
        <v>14103</v>
      </c>
      <c r="L85" s="26">
        <f t="shared" si="74"/>
        <v>16213</v>
      </c>
      <c r="M85" s="26">
        <f t="shared" si="74"/>
        <v>18245</v>
      </c>
      <c r="N85" s="26">
        <f t="shared" si="74"/>
        <v>19188</v>
      </c>
      <c r="O85" s="26">
        <f t="shared" si="74"/>
        <v>20840</v>
      </c>
      <c r="P85" s="26">
        <f t="shared" si="74"/>
        <v>21522</v>
      </c>
      <c r="Q85" s="26">
        <f t="shared" si="74"/>
        <v>21473</v>
      </c>
      <c r="R85" s="26">
        <f t="shared" si="74"/>
        <v>21763</v>
      </c>
      <c r="S85" s="26">
        <f t="shared" si="74"/>
        <v>20512</v>
      </c>
      <c r="T85" s="26">
        <f t="shared" si="74"/>
        <v>20637</v>
      </c>
      <c r="U85" s="26">
        <f t="shared" si="74"/>
        <v>16604</v>
      </c>
      <c r="V85" s="26">
        <f t="shared" si="74"/>
        <v>19863</v>
      </c>
      <c r="W85" s="26">
        <f t="shared" si="74"/>
        <v>20995</v>
      </c>
      <c r="X85" s="26">
        <f t="shared" si="74"/>
        <v>21713</v>
      </c>
      <c r="Y85" s="26">
        <f t="shared" si="74"/>
        <v>21457</v>
      </c>
      <c r="Z85" s="26">
        <f t="shared" si="74"/>
        <v>21832</v>
      </c>
      <c r="AA85" s="26">
        <f>SUM(AA82:AA84)</f>
        <v>22032</v>
      </c>
      <c r="AB85" s="26">
        <f>SUM(AB82:AB84)</f>
        <v>24959</v>
      </c>
      <c r="AC85" s="26">
        <f>SUM(AC82:AC84)</f>
        <v>27394</v>
      </c>
      <c r="AD85" s="26">
        <f>SUM(AD82:AD84)</f>
        <v>27942</v>
      </c>
      <c r="AE85" s="26">
        <f t="shared" ref="AE85:AN85" si="75">SUM(AE82:AE84)</f>
        <v>28198</v>
      </c>
      <c r="AF85" s="26">
        <f t="shared" si="75"/>
        <v>28972</v>
      </c>
      <c r="AG85" s="26">
        <f t="shared" si="75"/>
        <v>27854</v>
      </c>
      <c r="AH85" s="26">
        <f t="shared" si="75"/>
        <v>28672</v>
      </c>
      <c r="AI85" s="26">
        <f t="shared" si="75"/>
        <v>29445</v>
      </c>
      <c r="AJ85" s="26">
        <f t="shared" si="75"/>
        <v>34509</v>
      </c>
      <c r="AK85" s="26">
        <f t="shared" si="75"/>
        <v>33231</v>
      </c>
      <c r="AL85" s="26">
        <f t="shared" si="75"/>
        <v>32097</v>
      </c>
      <c r="AM85" s="26">
        <f t="shared" si="75"/>
        <v>32844</v>
      </c>
      <c r="AN85" s="26">
        <f t="shared" si="75"/>
        <v>23109</v>
      </c>
      <c r="AO85" s="26">
        <f t="shared" ref="AO85:AP85" si="76">SUM(AO82:AO84)</f>
        <v>35413</v>
      </c>
      <c r="AP85" s="26">
        <f t="shared" si="76"/>
        <v>36447</v>
      </c>
      <c r="AQ85" s="26">
        <f t="shared" si="74"/>
        <v>37196</v>
      </c>
      <c r="AR85" s="18"/>
    </row>
    <row r="86" spans="1:45" s="3" customFormat="1" ht="12" thickBot="1" x14ac:dyDescent="0.3">
      <c r="A86" s="17"/>
      <c r="B86" s="3" t="s">
        <v>7</v>
      </c>
      <c r="D86" s="4">
        <f t="shared" ref="D86:AQ86" si="77">D80+D85</f>
        <v>106298</v>
      </c>
      <c r="E86" s="4">
        <f t="shared" si="77"/>
        <v>103714</v>
      </c>
      <c r="F86" s="4">
        <f t="shared" si="77"/>
        <v>106202</v>
      </c>
      <c r="G86" s="4">
        <f t="shared" si="77"/>
        <v>116319</v>
      </c>
      <c r="H86" s="4">
        <f t="shared" si="77"/>
        <v>120754</v>
      </c>
      <c r="I86" s="4">
        <f t="shared" si="77"/>
        <v>126363</v>
      </c>
      <c r="J86" s="4">
        <f t="shared" si="77"/>
        <v>130693</v>
      </c>
      <c r="K86" s="4">
        <f t="shared" si="77"/>
        <v>130324</v>
      </c>
      <c r="L86" s="4">
        <f t="shared" si="77"/>
        <v>121122</v>
      </c>
      <c r="M86" s="4">
        <f t="shared" si="77"/>
        <v>123698</v>
      </c>
      <c r="N86" s="4">
        <f t="shared" si="77"/>
        <v>128120</v>
      </c>
      <c r="O86" s="4">
        <f t="shared" si="77"/>
        <v>130019</v>
      </c>
      <c r="P86" s="4">
        <f t="shared" si="77"/>
        <v>131202</v>
      </c>
      <c r="Q86" s="4">
        <f t="shared" si="77"/>
        <v>127865</v>
      </c>
      <c r="R86" s="4">
        <f t="shared" si="77"/>
        <v>132226</v>
      </c>
      <c r="S86" s="4">
        <f t="shared" si="77"/>
        <v>132294</v>
      </c>
      <c r="T86" s="4">
        <f t="shared" si="77"/>
        <v>132290</v>
      </c>
      <c r="U86" s="4">
        <f t="shared" si="77"/>
        <v>131660</v>
      </c>
      <c r="V86" s="4">
        <f t="shared" si="77"/>
        <v>135160</v>
      </c>
      <c r="W86" s="4">
        <f t="shared" si="77"/>
        <v>135478</v>
      </c>
      <c r="X86" s="4">
        <f t="shared" si="77"/>
        <v>134549</v>
      </c>
      <c r="Y86" s="4">
        <f t="shared" si="77"/>
        <v>138462</v>
      </c>
      <c r="Z86" s="4">
        <f t="shared" si="77"/>
        <v>138623</v>
      </c>
      <c r="AA86" s="4">
        <f>AA80+AA85</f>
        <v>139805</v>
      </c>
      <c r="AB86" s="4">
        <f>AB80+AB85</f>
        <v>139791</v>
      </c>
      <c r="AC86" s="4">
        <f>AC80+AC85</f>
        <v>146471.5</v>
      </c>
      <c r="AD86" s="4">
        <f>AD80+AD85</f>
        <v>149223</v>
      </c>
      <c r="AE86" s="4">
        <f t="shared" ref="AE86:AM86" si="78">AE80+AE85</f>
        <v>148535</v>
      </c>
      <c r="AF86" s="4">
        <f t="shared" si="78"/>
        <v>148019</v>
      </c>
      <c r="AG86" s="4">
        <f t="shared" si="78"/>
        <v>147967</v>
      </c>
      <c r="AH86" s="4">
        <f t="shared" si="78"/>
        <v>149594</v>
      </c>
      <c r="AI86" s="4">
        <f t="shared" si="78"/>
        <v>145000</v>
      </c>
      <c r="AJ86" s="4">
        <f t="shared" si="78"/>
        <v>143128</v>
      </c>
      <c r="AK86" s="4">
        <f t="shared" si="78"/>
        <v>141837</v>
      </c>
      <c r="AL86" s="4">
        <f t="shared" si="78"/>
        <v>138847</v>
      </c>
      <c r="AM86" s="4">
        <f t="shared" si="78"/>
        <v>134418</v>
      </c>
      <c r="AN86" s="4">
        <f>AN80+AN85</f>
        <v>120703</v>
      </c>
      <c r="AO86" s="4">
        <f t="shared" ref="AO86:AP86" si="79">AO80+AO85</f>
        <v>123426</v>
      </c>
      <c r="AP86" s="4">
        <f t="shared" si="79"/>
        <v>120364</v>
      </c>
      <c r="AQ86" s="4">
        <f t="shared" si="77"/>
        <v>118805</v>
      </c>
      <c r="AR86" s="18"/>
      <c r="AS86" s="1"/>
    </row>
    <row r="87" spans="1:45" ht="5.25" customHeight="1" thickTop="1" x14ac:dyDescent="0.25">
      <c r="A87" s="13"/>
      <c r="AR87" s="14"/>
    </row>
    <row r="88" spans="1:45" ht="12.75" customHeight="1" x14ac:dyDescent="0.25">
      <c r="A88" s="13"/>
      <c r="B88" s="25" t="s">
        <v>18</v>
      </c>
      <c r="AR88" s="14"/>
    </row>
    <row r="89" spans="1:45" ht="24" customHeight="1" x14ac:dyDescent="0.25">
      <c r="A89" s="13"/>
      <c r="B89" s="33" t="s">
        <v>28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14"/>
    </row>
    <row r="90" spans="1:45" ht="24.75" customHeight="1" x14ac:dyDescent="0.25">
      <c r="A90" s="13"/>
      <c r="B90" s="33" t="s">
        <v>29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14"/>
    </row>
    <row r="91" spans="1:45" ht="12.75" customHeight="1" x14ac:dyDescent="0.25">
      <c r="A91" s="13"/>
      <c r="B91" s="31" t="s">
        <v>30</v>
      </c>
      <c r="AR91" s="14"/>
    </row>
    <row r="92" spans="1:45" ht="12.75" customHeight="1" x14ac:dyDescent="0.25">
      <c r="A92" s="13"/>
      <c r="B92" s="31" t="s">
        <v>31</v>
      </c>
      <c r="AR92" s="14"/>
    </row>
    <row r="93" spans="1:45" ht="12.75" customHeight="1" x14ac:dyDescent="0.25">
      <c r="A93" s="13"/>
      <c r="B93" s="1" t="s">
        <v>32</v>
      </c>
      <c r="AR93" s="14"/>
    </row>
    <row r="94" spans="1:45" ht="39.75" customHeight="1" x14ac:dyDescent="0.25">
      <c r="A94" s="13"/>
      <c r="B94" s="34" t="s">
        <v>36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14"/>
    </row>
    <row r="95" spans="1:45" ht="7" customHeight="1" x14ac:dyDescent="0.25">
      <c r="A95" s="13"/>
      <c r="AR95" s="14"/>
    </row>
    <row r="96" spans="1:45" x14ac:dyDescent="0.25">
      <c r="A96" s="19"/>
      <c r="B96" s="6" t="s">
        <v>39</v>
      </c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20"/>
    </row>
    <row r="97" spans="1:44" x14ac:dyDescent="0.25">
      <c r="A97" s="13"/>
      <c r="B97" s="1" t="s">
        <v>33</v>
      </c>
      <c r="AR97" s="14"/>
    </row>
    <row r="98" spans="1:44" x14ac:dyDescent="0.25">
      <c r="A98" s="13"/>
      <c r="AR98" s="14"/>
    </row>
    <row r="99" spans="1:44" x14ac:dyDescent="0.25">
      <c r="A99" s="13"/>
      <c r="AR99" s="14"/>
    </row>
    <row r="100" spans="1:44" x14ac:dyDescent="0.25">
      <c r="A100" s="13"/>
      <c r="AR100" s="14"/>
    </row>
    <row r="101" spans="1:44" x14ac:dyDescent="0.25">
      <c r="A101" s="13"/>
      <c r="AR101" s="14"/>
    </row>
    <row r="102" spans="1:44" x14ac:dyDescent="0.25">
      <c r="A102" s="13"/>
      <c r="AR102" s="14"/>
    </row>
    <row r="103" spans="1:44" x14ac:dyDescent="0.25">
      <c r="A103" s="13"/>
      <c r="AR103" s="14"/>
    </row>
    <row r="104" spans="1:44" x14ac:dyDescent="0.25">
      <c r="A104" s="13"/>
      <c r="AR104" s="14"/>
    </row>
    <row r="105" spans="1:44" x14ac:dyDescent="0.25">
      <c r="A105" s="13"/>
      <c r="AR105" s="14"/>
    </row>
    <row r="106" spans="1:44" x14ac:dyDescent="0.25">
      <c r="A106" s="13"/>
      <c r="AR106" s="14"/>
    </row>
    <row r="107" spans="1:44" x14ac:dyDescent="0.25">
      <c r="A107" s="13"/>
      <c r="AR107" s="14"/>
    </row>
    <row r="108" spans="1:44" x14ac:dyDescent="0.25">
      <c r="A108" s="13"/>
      <c r="AR108" s="14"/>
    </row>
    <row r="109" spans="1:44" x14ac:dyDescent="0.25">
      <c r="A109" s="13"/>
      <c r="AR109" s="14"/>
    </row>
    <row r="110" spans="1:44" x14ac:dyDescent="0.25">
      <c r="A110" s="13"/>
      <c r="AR110" s="14"/>
    </row>
    <row r="111" spans="1:44" x14ac:dyDescent="0.25">
      <c r="A111" s="13"/>
      <c r="AR111" s="14"/>
    </row>
    <row r="112" spans="1:44" x14ac:dyDescent="0.25">
      <c r="A112" s="13"/>
      <c r="AR112" s="14"/>
    </row>
    <row r="113" spans="1:44" x14ac:dyDescent="0.25">
      <c r="A113" s="13"/>
      <c r="AR113" s="14"/>
    </row>
    <row r="114" spans="1:44" x14ac:dyDescent="0.25">
      <c r="A114" s="13"/>
      <c r="AR114" s="14"/>
    </row>
    <row r="115" spans="1:44" x14ac:dyDescent="0.25">
      <c r="A115" s="13"/>
      <c r="AR115" s="14"/>
    </row>
    <row r="116" spans="1:44" x14ac:dyDescent="0.25">
      <c r="A116" s="13"/>
      <c r="AR116" s="14"/>
    </row>
    <row r="117" spans="1:44" x14ac:dyDescent="0.25">
      <c r="A117" s="13"/>
      <c r="AR117" s="14"/>
    </row>
    <row r="118" spans="1:44" x14ac:dyDescent="0.25">
      <c r="A118" s="13"/>
      <c r="AR118" s="14"/>
    </row>
    <row r="119" spans="1:44" x14ac:dyDescent="0.25">
      <c r="A119" s="19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20"/>
    </row>
  </sheetData>
  <mergeCells count="3">
    <mergeCell ref="B89:AQ89"/>
    <mergeCell ref="B90:AQ90"/>
    <mergeCell ref="B94:AQ94"/>
  </mergeCells>
  <phoneticPr fontId="0" type="noConversion"/>
  <printOptions horizontalCentered="1"/>
  <pageMargins left="0.18" right="0.18" top="0.43" bottom="0.37" header="0" footer="0.1"/>
  <pageSetup paperSize="5" scale="80" fitToHeight="2" orientation="portrait" r:id="rId1"/>
  <headerFooter alignWithMargins="0">
    <oddFooter>&amp;L&amp;"Times New Roman,Regular"&amp;8UMSL Fact Book&amp;C&amp;"Times New Roman,Regular"&amp;8&amp;A&amp;R&amp;"Times New Roman,Regular"&amp;8Last Updated Fall 2023</oddFooter>
  </headerFooter>
  <rowBreaks count="1" manualBreakCount="1">
    <brk id="96" max="16383" man="1"/>
  </rowBreaks>
  <ignoredErrors>
    <ignoredError sqref="AD10" formula="1"/>
    <ignoredError sqref="C7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fall_sch_production</vt:lpstr>
      <vt:lpstr>fall_sch_production!Print_Area</vt:lpstr>
      <vt:lpstr>fall_sch_production!Print_Titles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AnanthaSaiKumar Dasari</cp:lastModifiedBy>
  <cp:lastPrinted>2021-12-08T20:24:09Z</cp:lastPrinted>
  <dcterms:created xsi:type="dcterms:W3CDTF">1999-03-30T23:25:08Z</dcterms:created>
  <dcterms:modified xsi:type="dcterms:W3CDTF">2023-11-22T22:30:32Z</dcterms:modified>
</cp:coreProperties>
</file>